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1C2F25F7-97A1-40E8-BF88-D9FEC4624BB8}" xr6:coauthVersionLast="36" xr6:coauthVersionMax="36" xr10:uidLastSave="{00000000-0000-0000-0000-000000000000}"/>
  <bookViews>
    <workbookView xWindow="-108" yWindow="-108" windowWidth="23256" windowHeight="12456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8" i="1" l="1"/>
  <c r="F464" i="3" l="1"/>
  <c r="F465" i="3"/>
  <c r="F461" i="3"/>
  <c r="F462" i="3"/>
  <c r="AB45" i="2" l="1"/>
  <c r="AB44" i="2"/>
  <c r="G157" i="6"/>
  <c r="G156" i="6"/>
  <c r="G158" i="6" s="1"/>
  <c r="G152" i="6"/>
  <c r="G151" i="6"/>
  <c r="G153" i="6" s="1"/>
  <c r="G147" i="6"/>
  <c r="G146" i="6"/>
  <c r="G148" i="6" s="1"/>
  <c r="G142" i="6"/>
  <c r="G141" i="6"/>
  <c r="G143" i="6" s="1"/>
  <c r="F614" i="3"/>
  <c r="F613" i="3"/>
  <c r="F612" i="3"/>
  <c r="F611" i="3"/>
  <c r="F610" i="3"/>
  <c r="F609" i="3"/>
  <c r="F608" i="3"/>
  <c r="F604" i="3"/>
  <c r="F603" i="3"/>
  <c r="F602" i="3"/>
  <c r="F601" i="3"/>
  <c r="F596" i="3"/>
  <c r="F595" i="3"/>
  <c r="F594" i="3"/>
  <c r="F592" i="3"/>
  <c r="F591" i="3"/>
  <c r="F590" i="3"/>
  <c r="F589" i="3" l="1"/>
  <c r="F588" i="3"/>
  <c r="F587" i="3"/>
  <c r="F586" i="3"/>
  <c r="F585" i="3"/>
  <c r="F584" i="3"/>
  <c r="F583" i="3"/>
  <c r="F579" i="3"/>
  <c r="F578" i="3"/>
  <c r="F577" i="3"/>
  <c r="F576" i="3"/>
  <c r="F571" i="3"/>
  <c r="F570" i="3"/>
  <c r="F569" i="3"/>
  <c r="F567" i="3"/>
  <c r="F566" i="3"/>
  <c r="F565" i="3"/>
  <c r="F564" i="3" l="1"/>
  <c r="F563" i="3"/>
  <c r="F562" i="3"/>
  <c r="F561" i="3"/>
  <c r="F560" i="3"/>
  <c r="F559" i="3"/>
  <c r="F558" i="3"/>
  <c r="F554" i="3"/>
  <c r="F553" i="3"/>
  <c r="F552" i="3"/>
  <c r="F551" i="3"/>
  <c r="F546" i="3"/>
  <c r="F545" i="3"/>
  <c r="F544" i="3"/>
  <c r="F542" i="3"/>
  <c r="F541" i="3"/>
  <c r="F540" i="3"/>
  <c r="F539" i="3" l="1"/>
  <c r="F538" i="3"/>
  <c r="F537" i="3"/>
  <c r="F536" i="3"/>
  <c r="F535" i="3"/>
  <c r="F534" i="3"/>
  <c r="F533" i="3"/>
  <c r="F529" i="3"/>
  <c r="F528" i="3"/>
  <c r="F527" i="3"/>
  <c r="F526" i="3"/>
  <c r="F521" i="3"/>
  <c r="F520" i="3"/>
  <c r="F519" i="3"/>
  <c r="F517" i="3"/>
  <c r="F516" i="3"/>
  <c r="F515" i="3"/>
  <c r="F511" i="3" l="1"/>
  <c r="F514" i="3"/>
  <c r="F513" i="3"/>
  <c r="F512" i="3"/>
  <c r="F510" i="3"/>
  <c r="F509" i="3"/>
  <c r="F508" i="3"/>
  <c r="F504" i="3"/>
  <c r="F503" i="3"/>
  <c r="F502" i="3"/>
  <c r="F501" i="3"/>
  <c r="F496" i="3"/>
  <c r="F495" i="3"/>
  <c r="F494" i="3"/>
  <c r="F492" i="3"/>
  <c r="F491" i="3"/>
  <c r="F490" i="3"/>
  <c r="F51" i="3" l="1"/>
  <c r="F50" i="3"/>
  <c r="F49" i="3"/>
  <c r="F48" i="3"/>
  <c r="F47" i="3"/>
  <c r="F46" i="3"/>
  <c r="F45" i="3"/>
  <c r="F41" i="3"/>
  <c r="F40" i="3"/>
  <c r="F39" i="3"/>
  <c r="F38" i="3"/>
  <c r="F33" i="3"/>
  <c r="F32" i="3"/>
  <c r="F31" i="3"/>
  <c r="F29" i="3"/>
  <c r="F28" i="3"/>
  <c r="F27" i="3"/>
  <c r="AB43" i="2" l="1"/>
  <c r="AB42" i="2"/>
  <c r="Z47" i="2"/>
  <c r="Z46" i="2"/>
  <c r="F486" i="3" l="1"/>
  <c r="F485" i="3"/>
  <c r="F480" i="3"/>
  <c r="F479" i="3"/>
  <c r="F474" i="3"/>
  <c r="F473" i="3"/>
  <c r="F468" i="3" l="1"/>
  <c r="F467" i="3"/>
  <c r="F489" i="3" l="1"/>
  <c r="F488" i="3"/>
  <c r="F477" i="3"/>
  <c r="F476" i="3"/>
  <c r="F482" i="3"/>
  <c r="F483" i="3"/>
  <c r="F471" i="3"/>
  <c r="F470" i="3"/>
  <c r="F459" i="3"/>
  <c r="F458" i="3"/>
  <c r="F456" i="3" l="1"/>
  <c r="F455" i="3"/>
  <c r="H115" i="2"/>
  <c r="F455" i="1"/>
  <c r="F454" i="1"/>
  <c r="Z125" i="2"/>
  <c r="Z124" i="2"/>
  <c r="Z123" i="2"/>
  <c r="Z122" i="2"/>
  <c r="Z121" i="2"/>
  <c r="K121" i="2"/>
  <c r="H121" i="2"/>
  <c r="Z120" i="2"/>
  <c r="K120" i="2"/>
  <c r="H119" i="2"/>
  <c r="L118" i="2"/>
  <c r="H118" i="2"/>
  <c r="H117" i="2"/>
  <c r="H116" i="2"/>
  <c r="F338" i="3" l="1"/>
  <c r="F341" i="3" s="1"/>
  <c r="F344" i="3" s="1"/>
  <c r="F347" i="3" s="1"/>
  <c r="F323" i="3"/>
  <c r="F326" i="3" s="1"/>
  <c r="F329" i="3" s="1"/>
  <c r="F332" i="3" s="1"/>
  <c r="F293" i="3"/>
  <c r="F296" i="3" s="1"/>
  <c r="F299" i="3" s="1"/>
  <c r="F302" i="3" s="1"/>
  <c r="F278" i="3"/>
  <c r="F281" i="3" s="1"/>
  <c r="F284" i="3" s="1"/>
  <c r="F287" i="3" s="1"/>
  <c r="F263" i="3"/>
  <c r="F266" i="3" s="1"/>
  <c r="F269" i="3" s="1"/>
  <c r="F272" i="3" s="1"/>
  <c r="G162" i="6"/>
  <c r="G161" i="6"/>
  <c r="G163" i="6" l="1"/>
  <c r="I53" i="2" l="1"/>
  <c r="K53" i="2"/>
  <c r="L53" i="2"/>
  <c r="N53" i="2"/>
  <c r="Z53" i="2"/>
  <c r="J54" i="2"/>
  <c r="K54" i="2"/>
  <c r="L54" i="2"/>
  <c r="N54" i="2"/>
  <c r="Z54" i="2"/>
  <c r="K17" i="2" l="1"/>
  <c r="K16" i="2"/>
  <c r="Z17" i="2"/>
  <c r="Z16" i="2"/>
  <c r="Z21" i="2" l="1"/>
  <c r="R21" i="2"/>
  <c r="Z104" i="2" l="1"/>
  <c r="H104" i="2"/>
  <c r="Z103" i="2"/>
  <c r="L103" i="2"/>
  <c r="H103" i="2"/>
  <c r="G216" i="6" l="1"/>
  <c r="G215" i="6"/>
  <c r="G217" i="6" s="1"/>
  <c r="G221" i="6"/>
  <c r="G220" i="6"/>
  <c r="G222" i="6" s="1"/>
  <c r="E119" i="5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01" i="5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Z101" i="2"/>
  <c r="Z102" i="2"/>
  <c r="H102" i="2"/>
  <c r="H101" i="2"/>
  <c r="L112" i="2"/>
  <c r="K111" i="2"/>
  <c r="Z111" i="2" s="1"/>
  <c r="G191" i="6" l="1"/>
  <c r="G190" i="6"/>
  <c r="G192" i="6" s="1"/>
  <c r="G206" i="6"/>
  <c r="G205" i="6"/>
  <c r="G207" i="6" s="1"/>
  <c r="G210" i="6"/>
  <c r="G212" i="6" s="1"/>
  <c r="G211" i="6"/>
  <c r="H84" i="2"/>
  <c r="H83" i="2"/>
  <c r="Z106" i="2"/>
  <c r="Z105" i="2"/>
  <c r="Z100" i="2"/>
  <c r="Z96" i="2"/>
  <c r="Z92" i="2"/>
  <c r="Z99" i="2"/>
  <c r="Z94" i="2"/>
  <c r="Z90" i="2"/>
  <c r="Z88" i="2"/>
  <c r="Z86" i="2"/>
  <c r="Z97" i="2"/>
  <c r="Z98" i="2"/>
  <c r="Z95" i="2"/>
  <c r="Z91" i="2"/>
  <c r="Z87" i="2"/>
  <c r="Z93" i="2"/>
  <c r="Z89" i="2"/>
  <c r="Z85" i="2"/>
  <c r="AB82" i="2"/>
  <c r="AB83" i="2"/>
  <c r="AB84" i="2"/>
  <c r="AB81" i="2"/>
  <c r="AP100" i="2"/>
  <c r="AP99" i="2"/>
  <c r="AO96" i="2"/>
  <c r="AO94" i="2"/>
  <c r="AO92" i="2"/>
  <c r="AO90" i="2"/>
  <c r="AO88" i="2"/>
  <c r="AO86" i="2"/>
  <c r="K108" i="2"/>
  <c r="Z108" i="2" s="1"/>
  <c r="L109" i="2"/>
  <c r="L105" i="2"/>
  <c r="H105" i="2"/>
  <c r="H106" i="2"/>
  <c r="H98" i="2"/>
  <c r="H99" i="2"/>
  <c r="H100" i="2"/>
  <c r="H97" i="2"/>
  <c r="AP98" i="2"/>
  <c r="AP97" i="2"/>
  <c r="AO95" i="2"/>
  <c r="AO93" i="2"/>
  <c r="AO91" i="2"/>
  <c r="AO89" i="2"/>
  <c r="AO87" i="2"/>
  <c r="AO85" i="2"/>
  <c r="G226" i="6" l="1"/>
  <c r="G225" i="6"/>
  <c r="G227" i="6" s="1"/>
  <c r="G196" i="6"/>
  <c r="G195" i="6"/>
  <c r="G197" i="6" s="1"/>
  <c r="G230" i="6"/>
  <c r="G232" i="6" s="1"/>
  <c r="G231" i="6"/>
  <c r="G200" i="6"/>
  <c r="G202" i="6" s="1"/>
  <c r="G201" i="6"/>
  <c r="AP102" i="2"/>
  <c r="AP101" i="2"/>
  <c r="K114" i="2"/>
  <c r="Z114" i="2" s="1"/>
  <c r="K113" i="2"/>
  <c r="Z113" i="2" s="1"/>
  <c r="H114" i="2"/>
  <c r="H113" i="2"/>
  <c r="H82" i="2"/>
  <c r="H81" i="2"/>
  <c r="Z62" i="2" l="1"/>
  <c r="AA27" i="2" l="1"/>
  <c r="Z27" i="2" s="1"/>
  <c r="L31" i="2"/>
  <c r="K30" i="2"/>
  <c r="Z30" i="2" s="1"/>
  <c r="F28" i="2"/>
  <c r="Z28" i="2" s="1"/>
  <c r="E29" i="2"/>
  <c r="Z29" i="2" s="1"/>
  <c r="R24" i="2"/>
  <c r="R23" i="2"/>
  <c r="Z23" i="2"/>
  <c r="Z24" i="2"/>
  <c r="Z25" i="2"/>
  <c r="Z26" i="2"/>
  <c r="Z20" i="2"/>
  <c r="R20" i="2"/>
  <c r="G87" i="6" l="1"/>
  <c r="G86" i="6"/>
  <c r="G88" i="6" s="1"/>
  <c r="G76" i="6"/>
  <c r="G78" i="6" s="1"/>
  <c r="G77" i="6"/>
  <c r="R43" i="2"/>
  <c r="R42" i="2"/>
  <c r="G92" i="6"/>
  <c r="G91" i="6"/>
  <c r="G93" i="6" s="1"/>
  <c r="G82" i="6"/>
  <c r="G81" i="6"/>
  <c r="G83" i="6" s="1"/>
  <c r="G126" i="6"/>
  <c r="G128" i="6" s="1"/>
  <c r="G102" i="6"/>
  <c r="G127" i="6"/>
  <c r="G101" i="6"/>
  <c r="G103" i="6" s="1"/>
  <c r="G72" i="6"/>
  <c r="G71" i="6"/>
  <c r="G73" i="6" s="1"/>
  <c r="G117" i="6"/>
  <c r="G116" i="6"/>
  <c r="G118" i="6" s="1"/>
  <c r="G112" i="6"/>
  <c r="G111" i="6"/>
  <c r="G113" i="6" s="1"/>
  <c r="G136" i="6"/>
  <c r="G138" i="6" s="1"/>
  <c r="G137" i="6"/>
  <c r="G107" i="6"/>
  <c r="G106" i="6"/>
  <c r="G108" i="6" s="1"/>
  <c r="G132" i="6"/>
  <c r="G131" i="6"/>
  <c r="G133" i="6" s="1"/>
  <c r="G121" i="6"/>
  <c r="G123" i="6" s="1"/>
  <c r="G97" i="6"/>
  <c r="G96" i="6"/>
  <c r="G98" i="6" s="1"/>
  <c r="G122" i="6"/>
  <c r="G62" i="6"/>
  <c r="G61" i="6"/>
  <c r="G63" i="6" s="1"/>
  <c r="G42" i="6"/>
  <c r="G41" i="6"/>
  <c r="G43" i="6" s="1"/>
  <c r="G57" i="6"/>
  <c r="G56" i="6"/>
  <c r="G58" i="6" s="1"/>
  <c r="G37" i="6"/>
  <c r="G36" i="6"/>
  <c r="G38" i="6" s="1"/>
  <c r="G66" i="6"/>
  <c r="G68" i="6" s="1"/>
  <c r="G47" i="6"/>
  <c r="G46" i="6"/>
  <c r="G48" i="6" s="1"/>
  <c r="G67" i="6"/>
  <c r="G52" i="6"/>
  <c r="G51" i="6"/>
  <c r="G53" i="6" s="1"/>
  <c r="G32" i="6"/>
  <c r="G31" i="6"/>
  <c r="G33" i="6" s="1"/>
  <c r="E71" i="2"/>
  <c r="Z63" i="2" l="1"/>
  <c r="K63" i="2"/>
  <c r="H63" i="2"/>
  <c r="K62" i="2"/>
  <c r="Z67" i="2" l="1"/>
  <c r="Z66" i="2"/>
  <c r="Z65" i="2"/>
  <c r="Z64" i="2"/>
  <c r="G164" i="6" l="1"/>
  <c r="H73" i="2"/>
  <c r="H72" i="2"/>
  <c r="F72" i="2"/>
  <c r="H71" i="2"/>
  <c r="E72" i="2"/>
  <c r="H70" i="2"/>
  <c r="H69" i="2"/>
  <c r="H61" i="2" l="1"/>
  <c r="L60" i="2"/>
  <c r="H60" i="2"/>
  <c r="H59" i="2"/>
  <c r="H58" i="2"/>
  <c r="Z57" i="2"/>
  <c r="M56" i="2"/>
  <c r="K56" i="2"/>
  <c r="Z56" i="2" s="1"/>
  <c r="H56" i="2"/>
  <c r="M55" i="2"/>
  <c r="H55" i="2"/>
  <c r="Z52" i="2"/>
  <c r="N52" i="2"/>
  <c r="L52" i="2"/>
  <c r="K52" i="2"/>
  <c r="H52" i="2"/>
  <c r="Z51" i="2"/>
  <c r="N51" i="2"/>
  <c r="L51" i="2"/>
  <c r="K51" i="2"/>
  <c r="H51" i="2"/>
  <c r="G173" i="6" l="1"/>
  <c r="G172" i="6"/>
  <c r="G174" i="6" s="1"/>
  <c r="G167" i="6"/>
  <c r="G166" i="6"/>
  <c r="G168" i="6" s="1"/>
  <c r="G185" i="6"/>
  <c r="G184" i="6"/>
  <c r="G186" i="6" s="1"/>
  <c r="G179" i="6"/>
  <c r="G178" i="6"/>
  <c r="G180" i="6" s="1"/>
  <c r="H25" i="2"/>
  <c r="H26" i="2"/>
  <c r="H45" i="2" l="1"/>
  <c r="H44" i="2"/>
  <c r="Z14" i="2"/>
  <c r="Z15" i="2"/>
  <c r="K15" i="2"/>
  <c r="Z19" i="2"/>
  <c r="G21" i="6" l="1"/>
  <c r="G23" i="6"/>
  <c r="G11" i="6" s="1"/>
  <c r="G22" i="6"/>
  <c r="G10" i="6" s="1"/>
  <c r="G20" i="6"/>
  <c r="G17" i="6"/>
  <c r="G16" i="6"/>
  <c r="G15" i="6"/>
  <c r="G14" i="6"/>
  <c r="G29" i="6"/>
  <c r="G28" i="6"/>
  <c r="G27" i="6"/>
  <c r="G26" i="6"/>
  <c r="G24" i="6" l="1"/>
  <c r="G8" i="6"/>
  <c r="G12" i="6" s="1"/>
  <c r="G25" i="6"/>
  <c r="G9" i="6"/>
  <c r="G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B454" authorId="0" shapeId="0" xr:uid="{3A892D22-9BA7-43DD-B57B-F172A678253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5" authorId="0" shapeId="0" xr:uid="{DCFB5019-DCCB-41F2-9B83-C9887F2C1D6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6" authorId="0" shapeId="0" xr:uid="{EC1F11F4-1C85-4856-952A-652C2170E3F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Z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6" authorId="0" shapeId="0" xr:uid="{3A503624-D7EE-468D-AF38-598418405C1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7" authorId="0" shapeId="0" xr:uid="{B6761E16-404A-4E00-A048-7434D11E2E3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9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D52" authorId="0" shapeId="0" xr:uid="{B157DFD3-62DA-4881-A3EF-451E770BDBD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3" authorId="0" shapeId="0" xr:uid="{4DB26246-429B-4D2F-8B43-888EC7828C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4" authorId="0" shapeId="0" xr:uid="{6F9B6D1F-4307-4482-9E03-463653A0785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Z57" authorId="0" shapeId="0" xr:uid="{1E722BEB-CAFB-431B-AF29-7ECF97E2991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A105" authorId="0" shapeId="0" xr:uid="{61D90067-905E-4B18-AFC0-827DF6E08C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70% elec 30% H2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458" authorId="0" shapeId="0" xr:uid="{91BBAE8D-D23F-4E6C-878A-23320BD621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64" authorId="0" shapeId="0" xr:uid="{2575122B-845E-44D1-8E0C-74E25A378FB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0" authorId="0" shapeId="0" xr:uid="{3E63D2A6-8F29-4FC1-8E71-BBB7E6B9B16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6" authorId="0" shapeId="0" xr:uid="{2C709898-21AA-410F-B5B2-022BE3569A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82" authorId="0" shapeId="0" xr:uid="{43AA7C6F-58F4-447D-A481-2D1AB7DCE6F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https://ec.europa.eu/eurostat/databrowser/view/NRG_BAL_C__custom_7143810/default/table?lang=en</t>
        </r>
      </text>
    </comment>
    <comment ref="A488" authorId="0" shapeId="0" xr:uid="{DF2969F0-16B9-4CA1-9BAB-C63947223FD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C8" authorId="0" shapeId="0" xr:uid="{4B706C0F-1C03-40EF-9F11-7906B86D55D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9" authorId="0" shapeId="0" xr:uid="{5DCA2BB3-3C67-4701-85E9-37C0DB3DF8D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0" authorId="0" shapeId="0" xr:uid="{FC7F7FC0-F747-4DD0-A0CC-4DCF1DAB275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1" authorId="0" shapeId="0" xr:uid="{B0747E53-A76A-4803-9E4D-CE23779AB8C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0" authorId="0" shapeId="0" xr:uid="{017367AD-C8AF-41B2-AE34-E7212513551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1" authorId="0" shapeId="0" xr:uid="{E0BCAF94-3D99-489E-B108-1414C036B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2" authorId="0" shapeId="0" xr:uid="{14D66447-FCDD-4E5C-AA87-84002658E5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3" authorId="0" shapeId="0" xr:uid="{5C6D651F-62FC-450E-8F00-E5FB10DD548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31" authorId="0" shapeId="0" xr:uid="{341FD653-63DE-41C4-BD15-BACF27DC123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2" authorId="0" shapeId="0" xr:uid="{3E84688F-3091-4AB2-9A33-31C9D91924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3" authorId="0" shapeId="0" xr:uid="{778800D3-BAD9-4AD6-90A0-C2F759E9C9C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6" authorId="0" shapeId="0" xr:uid="{EF6B517F-7597-4883-9608-84EC480CF3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7" authorId="0" shapeId="0" xr:uid="{0AE55FEB-3DFA-4BB0-BB84-64A7FB086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8" authorId="0" shapeId="0" xr:uid="{E189C309-0196-4010-B525-696138E533C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1" authorId="0" shapeId="0" xr:uid="{5CAEB03F-09F7-45B1-A6AE-131C49CF52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2" authorId="0" shapeId="0" xr:uid="{31F20796-E835-4F10-B9C9-5F478360BC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3" authorId="0" shapeId="0" xr:uid="{EB9E28E8-844D-4D56-A9A6-B6BC50BF161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6" authorId="0" shapeId="0" xr:uid="{9CCAEED0-B4E9-416E-880F-BC7575FDD66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7" authorId="0" shapeId="0" xr:uid="{FECCDFAA-6247-4DE1-BFF9-311092AAD7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8" authorId="0" shapeId="0" xr:uid="{9A3E143B-8B9E-46E6-A0D8-F765FDE24DB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1" authorId="0" shapeId="0" xr:uid="{508E7117-271A-40F4-8B1F-D1D50BCC28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2" authorId="0" shapeId="0" xr:uid="{57B27986-962A-4E27-A9AB-EC546893054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3" authorId="0" shapeId="0" xr:uid="{028D0CF8-8069-46A9-B6B9-D84346683F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6" authorId="0" shapeId="0" xr:uid="{ECB0E0CB-4887-4087-ACB1-DA6FCB70BA6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7" authorId="0" shapeId="0" xr:uid="{2AAC8582-7A20-453A-A4C4-64E4A7B94E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8" authorId="0" shapeId="0" xr:uid="{605FA222-7C27-4C93-A568-BE3361BEC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1" authorId="0" shapeId="0" xr:uid="{3982A47E-6B82-4E8C-9A75-555C22F11C3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2" authorId="0" shapeId="0" xr:uid="{477D4C21-106B-4E9C-A225-52F26E4E28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3" authorId="0" shapeId="0" xr:uid="{B4B1F0DE-4D35-4904-A88A-FE3EA27E888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6" authorId="0" shapeId="0" xr:uid="{44804017-878D-4014-9797-D0F56E24567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7" authorId="0" shapeId="0" xr:uid="{C266EA67-D535-474D-B223-6E0D135FEB0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8" authorId="0" shapeId="0" xr:uid="{64AE6967-4676-4A86-944B-17D53CE98CA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1" authorId="0" shapeId="0" xr:uid="{0A8F26BD-A3E6-4411-AF14-0D3BBD71905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2" authorId="0" shapeId="0" xr:uid="{8FA0111E-5CB6-426C-8A2D-23AA9BEB39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3" authorId="0" shapeId="0" xr:uid="{8DA39953-F276-45CF-90E2-18242A8528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6" authorId="0" shapeId="0" xr:uid="{5F218646-7363-443B-A978-543BF9C2C45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7" authorId="0" shapeId="0" xr:uid="{D30918E4-93E2-4DCE-82EE-9373D717D3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8" authorId="0" shapeId="0" xr:uid="{889FDBE8-E7EC-44F6-A905-DB0C2509D3F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1" authorId="0" shapeId="0" xr:uid="{F2B7D327-37A7-45DB-88EA-31FA5BE515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2" authorId="0" shapeId="0" xr:uid="{72E9CA31-6671-43F7-BD89-6218DEBF773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3" authorId="0" shapeId="0" xr:uid="{E58C9401-A2A0-470D-885D-95C06CDCBCF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6" authorId="0" shapeId="0" xr:uid="{D3374F9A-49D5-44F2-B4F8-ED638D5AFCC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7" authorId="0" shapeId="0" xr:uid="{34F8C598-6987-4730-9932-03CF9BB13BD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8" authorId="0" shapeId="0" xr:uid="{86E13F55-F750-41A8-84D0-246D64F59E8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1" authorId="0" shapeId="0" xr:uid="{7E56B377-3167-437F-9874-5F66E091BF6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2" authorId="0" shapeId="0" xr:uid="{FA1B041F-9DD0-4B69-A4D4-6F592E8F9F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3" authorId="0" shapeId="0" xr:uid="{85463DE6-72B4-459D-AA5B-94472935DE3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6" authorId="0" shapeId="0" xr:uid="{F63755D3-81A0-4C55-B77B-2EC22263E23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7" authorId="0" shapeId="0" xr:uid="{4A1D96B2-8FCF-401B-9420-0A0DA9BCE80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8" authorId="0" shapeId="0" xr:uid="{302E31EC-40CE-4C84-AD6D-B8BA14EA78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1" authorId="0" shapeId="0" xr:uid="{DD43C36C-BBE1-41EC-9967-EAA51F835E2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2" authorId="0" shapeId="0" xr:uid="{8A1DAF1F-3BED-4FBB-B1D3-6A928A335D1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3" authorId="0" shapeId="0" xr:uid="{1A3A267C-CF45-4D16-B8D3-21E13A6E4C9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6" authorId="0" shapeId="0" xr:uid="{C96E0D01-6DC6-489B-9EAA-C6780A8AB0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7" authorId="0" shapeId="0" xr:uid="{A85FCFFA-210C-4CC7-B5F9-59AE2816C4A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8" authorId="0" shapeId="0" xr:uid="{966C22E6-C981-4409-9043-7FBD8BA3CD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1" authorId="0" shapeId="0" xr:uid="{6FA793BA-8821-4EEC-B240-61B3499DD8B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2" authorId="0" shapeId="0" xr:uid="{A8DDBD24-CE65-43BE-8F21-31ABCD4B9C8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3" authorId="0" shapeId="0" xr:uid="{CBCA6253-4259-4758-B770-024C8103576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6" authorId="0" shapeId="0" xr:uid="{EA0E3938-274A-40CD-A1E7-D81425453E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7" authorId="0" shapeId="0" xr:uid="{6606D3A2-DABE-4384-84E6-EA63D8FF8C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8" authorId="0" shapeId="0" xr:uid="{587E142B-CA35-407F-AA2A-F530D02346A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1" authorId="0" shapeId="0" xr:uid="{60816531-69A4-42B2-A74D-2CE45FB45F3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2" authorId="0" shapeId="0" xr:uid="{E9BF6B95-39D7-4429-97CB-79D59D8D931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3" authorId="0" shapeId="0" xr:uid="{807775FD-42A4-43FA-82BB-AF295D2A996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6" authorId="0" shapeId="0" xr:uid="{E6B1C3A2-E8B3-41C3-90BB-2F65C47A7C9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7" authorId="0" shapeId="0" xr:uid="{EFC199CC-3876-4167-A715-471DECC9780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8" authorId="0" shapeId="0" xr:uid="{02E78773-1F8F-4914-AB0C-3C005FEE38B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1" authorId="0" shapeId="0" xr:uid="{02890F36-8269-4C6E-B1ED-A835CFFDE3D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2" authorId="0" shapeId="0" xr:uid="{F378ABA0-2020-4F51-A662-38E12BE9CDB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3" authorId="0" shapeId="0" xr:uid="{B9A59A0F-66D7-4D76-8036-9AF77885E5F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6" authorId="0" shapeId="0" xr:uid="{014783E6-D28A-4223-B534-4C44D48295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7" authorId="0" shapeId="0" xr:uid="{1DEFAAE7-6D1B-4F89-8456-6FE48E17D8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8" authorId="0" shapeId="0" xr:uid="{C627565D-157B-4204-9781-A5D0DEA880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61" authorId="0" shapeId="0" xr:uid="{5A00FAA2-87E2-4C16-85F4-D44566E2196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2" authorId="0" shapeId="0" xr:uid="{5225848E-5E1F-490D-BF95-A2AC0ECED7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3" authorId="0" shapeId="0" xr:uid="{5EE35E9D-894C-4C24-8FA6-4B8D8A60C6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6" authorId="0" shapeId="0" xr:uid="{76148A71-D6C0-420E-8688-E1C6CD62C1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7" authorId="0" shapeId="0" xr:uid="{2231D993-19D5-417E-880C-045E518617A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8" authorId="0" shapeId="0" xr:uid="{E6D6DE65-5C7D-4F25-98EB-1D44671CF0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2" authorId="0" shapeId="0" xr:uid="{7789516F-3362-4AA6-B466-168BE29B647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3" authorId="0" shapeId="0" xr:uid="{4EEF9FFB-EBD2-473B-BFBE-BACFAD233A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4" authorId="0" shapeId="0" xr:uid="{4018286E-BC1C-4D7C-8C27-07E3F40D342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8" authorId="0" shapeId="0" xr:uid="{844B2248-71E2-4D2E-AD2A-92653A2069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9" authorId="0" shapeId="0" xr:uid="{B80A5A67-22B6-468B-B893-FFDB5275E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0" authorId="0" shapeId="0" xr:uid="{B7DD0974-2A7A-4F8A-9AD0-296DDCB265E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4" authorId="0" shapeId="0" xr:uid="{74F12E90-BE54-4DC6-B686-CCA7258316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5" authorId="0" shapeId="0" xr:uid="{62B0AD58-5C59-4C4A-928E-238BC50791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6" authorId="0" shapeId="0" xr:uid="{A11C0E14-D360-43B9-BD6D-01543B86C0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90" authorId="0" shapeId="0" xr:uid="{35BFE470-3100-4FB9-9F4A-E445C0EC4F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1" authorId="0" shapeId="0" xr:uid="{5B6E49EE-A2A6-4E16-BA20-13032463F42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2" authorId="0" shapeId="0" xr:uid="{D2BAFE65-840F-465A-A9B4-5263C0855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5" authorId="0" shapeId="0" xr:uid="{BC3A4018-D559-472D-A3D7-FDAC944E5E4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6" authorId="0" shapeId="0" xr:uid="{1E54747F-0C93-4700-A953-910BE523112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7" authorId="0" shapeId="0" xr:uid="{8CC11490-35AD-4F3D-8D38-B80C33BDF7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0" authorId="0" shapeId="0" xr:uid="{FA081119-9BB7-4B79-9AA2-B761B8187D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1" authorId="0" shapeId="0" xr:uid="{0531362A-31D9-43D0-8A4D-075297A1623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2" authorId="0" shapeId="0" xr:uid="{1EDEFD65-7DF8-422E-BA4B-1330FD8B63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5" authorId="0" shapeId="0" xr:uid="{B46CCD59-D543-4D41-BE8F-D0E88724F4D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6" authorId="0" shapeId="0" xr:uid="{5F5E18FB-1FB9-4070-B67E-2C88F8D8EA0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7" authorId="0" shapeId="0" xr:uid="{8B456765-6509-4045-8FC7-0D5A16325C7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0" authorId="0" shapeId="0" xr:uid="{E11B06FD-E427-48ED-9D62-D954F707DAC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1" authorId="0" shapeId="0" xr:uid="{63F41EE8-6F94-468C-A68C-CC5D6072ED5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2" authorId="0" shapeId="0" xr:uid="{C1B7970C-66D4-43AA-8BF3-7BB209E51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5" authorId="0" shapeId="0" xr:uid="{8C926A08-5962-4B95-A9BB-41770CB1C7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6" authorId="0" shapeId="0" xr:uid="{43841F50-0653-4E82-BCC0-6B7864368A2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7" authorId="0" shapeId="0" xr:uid="{D26F4903-FEF9-4F7B-9BCE-26D15FCCA02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0" authorId="0" shapeId="0" xr:uid="{CC61C066-9FC6-4652-8FF9-A83A3B66B5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1" authorId="0" shapeId="0" xr:uid="{755B948B-1694-4D7F-AF77-703196556B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2" authorId="0" shapeId="0" xr:uid="{43FDB957-869A-49FF-8224-F94D6845B90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5" authorId="0" shapeId="0" xr:uid="{C209917F-D48A-4F74-98D8-938E6F7283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6" authorId="0" shapeId="0" xr:uid="{63C64B99-85B5-4481-8137-C6E046987F9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7" authorId="0" shapeId="0" xr:uid="{8E3DD610-FFA2-4045-BBE1-93F813FB830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0" authorId="0" shapeId="0" xr:uid="{58E3E862-3A4F-4105-BA45-7BDF4175B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1" authorId="0" shapeId="0" xr:uid="{96B4037A-2388-4734-A5DE-3BE613CCCA4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2" authorId="0" shapeId="0" xr:uid="{D8D910FA-8F93-44D5-8292-AEAB65DECD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</commentList>
</comments>
</file>

<file path=xl/sharedStrings.xml><?xml version="1.0" encoding="utf-8"?>
<sst xmlns="http://schemas.openxmlformats.org/spreadsheetml/2006/main" count="5650" uniqueCount="197">
  <si>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</si>
  <si>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</si>
  <si>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</si>
  <si>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</si>
  <si>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</si>
  <si>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</si>
  <si>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</si>
  <si>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</si>
  <si>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</si>
  <si>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</si>
  <si>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</si>
  <si>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</si>
  <si>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</si>
  <si>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</si>
  <si>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</si>
  <si>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</si>
  <si>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</si>
  <si>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</si>
  <si>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</si>
  <si>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</si>
  <si>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</si>
  <si>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</si>
  <si>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</si>
  <si>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</si>
  <si>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</si>
  <si>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</si>
  <si>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</si>
  <si>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</si>
  <si>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</si>
  <si>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</si>
  <si>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</si>
  <si>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</si>
  <si>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</si>
  <si>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</si>
  <si>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</si>
  <si>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</si>
  <si>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</si>
  <si>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</si>
  <si>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</si>
  <si>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</si>
  <si>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</si>
  <si>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</si>
  <si>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</si>
  <si>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</si>
  <si>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</si>
  <si>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</si>
  <si>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</si>
  <si>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</si>
  <si>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</si>
  <si>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</si>
  <si>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</si>
  <si>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</si>
  <si>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</si>
  <si>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</si>
  <si>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</si>
  <si>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</si>
  <si>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Naphtha</t>
  </si>
  <si>
    <t>Oil_Refining_for_Naphtha</t>
  </si>
  <si>
    <t>ASU-N2</t>
  </si>
  <si>
    <t>ASU-O2</t>
  </si>
  <si>
    <t>All</t>
  </si>
  <si>
    <t>capacity_associated_resource</t>
  </si>
  <si>
    <t>no_import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</si>
  <si>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</si>
  <si>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</si>
  <si>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</si>
  <si>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</si>
  <si>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</si>
  <si>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</si>
  <si>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</si>
  <si>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</si>
  <si>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</si>
  <si>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</si>
  <si>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</si>
  <si>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</si>
  <si>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</si>
  <si>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</si>
  <si>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</si>
  <si>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</si>
  <si>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</si>
  <si>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</si>
  <si>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</si>
  <si>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Cement_oxy_fuel_62</t>
  </si>
  <si>
    <t>Cement_oxy_fuel_93</t>
  </si>
  <si>
    <t>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</si>
  <si>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</si>
  <si>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</si>
  <si>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</si>
  <si>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</si>
  <si>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</si>
  <si>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</si>
  <si>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</si>
  <si>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emissions_reduction_ratio_obj</t>
  </si>
  <si>
    <t>Electricity_50%_LF</t>
  </si>
  <si>
    <t>Electricity_25%_LF</t>
  </si>
  <si>
    <t>Baseload</t>
  </si>
  <si>
    <t>50%_LF</t>
  </si>
  <si>
    <t>25%_LF</t>
  </si>
  <si>
    <t>BioNaphtha_making</t>
  </si>
  <si>
    <t>Chemistry</t>
  </si>
  <si>
    <t>Naphta_cracking</t>
  </si>
  <si>
    <t>Naphta_cracking_electrified</t>
  </si>
  <si>
    <t>MethanolToOlefins</t>
  </si>
  <si>
    <t>elec_steam</t>
  </si>
  <si>
    <t>gas_steam</t>
  </si>
  <si>
    <t>OxidativeCouplingOfMethane</t>
  </si>
  <si>
    <t>Haber_Bosch</t>
  </si>
  <si>
    <t>AmmoniaElectrolysis_SSAS</t>
  </si>
  <si>
    <t>AmmoniaElectrolysis_2Step</t>
  </si>
  <si>
    <t>MoltenSalt</t>
  </si>
  <si>
    <t>CO2_to_MeOH_3_Step_Gas</t>
  </si>
  <si>
    <t>CO2_to_MeOH_3_Step_Elec</t>
  </si>
  <si>
    <t>CO2_to_MeOH_2_Step_Gas</t>
  </si>
  <si>
    <t>CO2_to_MeOH_2_Step_Elec</t>
  </si>
  <si>
    <t>CO2_to_MeOH_1_Step</t>
  </si>
  <si>
    <t>min_output</t>
  </si>
  <si>
    <t>BF-BOF</t>
  </si>
  <si>
    <t>Steel</t>
  </si>
  <si>
    <t>EAF</t>
  </si>
  <si>
    <t>DRI-EAF</t>
  </si>
  <si>
    <t>Kiln-DRI-EAF</t>
  </si>
  <si>
    <t>Electrowinning</t>
  </si>
  <si>
    <t>CH4</t>
  </si>
  <si>
    <t>forced_prod_t</t>
  </si>
  <si>
    <t>H2</t>
  </si>
  <si>
    <t>forced_prod_min_t</t>
  </si>
  <si>
    <t>Bio</t>
  </si>
  <si>
    <t>BF_57</t>
  </si>
  <si>
    <t>min_capacity_factor</t>
  </si>
  <si>
    <t>max_capacity_t</t>
  </si>
  <si>
    <t>tech_age</t>
  </si>
  <si>
    <t>CO2</t>
  </si>
  <si>
    <t>Gas_ConvMeOHReactor_GasSteam</t>
  </si>
  <si>
    <t>Gas_ConvMeOHReactor_ElecSteam</t>
  </si>
  <si>
    <t>Biomass_ConvMeOHReactor</t>
  </si>
  <si>
    <t>Bio-30%</t>
  </si>
  <si>
    <t>Bio-10%</t>
  </si>
  <si>
    <t>Bio-50%</t>
  </si>
  <si>
    <t>Waste_kiln</t>
  </si>
  <si>
    <t>Biomass_kiln</t>
  </si>
  <si>
    <t>Coal_kiln</t>
  </si>
  <si>
    <t>Gas_kiln</t>
  </si>
  <si>
    <t>H2_kiln</t>
  </si>
  <si>
    <t>Kiln_heat</t>
  </si>
  <si>
    <t>NC_85</t>
  </si>
  <si>
    <t>Glass</t>
  </si>
  <si>
    <t>Batch_preparation_container</t>
  </si>
  <si>
    <t>Batch_preparation_flat</t>
  </si>
  <si>
    <t>Forming_post_forming_flat</t>
  </si>
  <si>
    <t>Forming_post_forming_container</t>
  </si>
  <si>
    <t>Container_batch</t>
  </si>
  <si>
    <t>Flat_batch</t>
  </si>
  <si>
    <t>Melted_container</t>
  </si>
  <si>
    <t>Melted_flat</t>
  </si>
  <si>
    <t>Container_glass</t>
  </si>
  <si>
    <t>Flat_glass</t>
  </si>
  <si>
    <t>Silica_sand</t>
  </si>
  <si>
    <t>Recuperative_container</t>
  </si>
  <si>
    <t>Recuperative_flat</t>
  </si>
  <si>
    <t>Oxy_fuel_container</t>
  </si>
  <si>
    <t>Oxy_fuel_flat</t>
  </si>
  <si>
    <t>TCR_container</t>
  </si>
  <si>
    <t>TCR_flat</t>
  </si>
  <si>
    <t>Regenerative_end-port_container</t>
  </si>
  <si>
    <t>Regenerative_end-port_flat</t>
  </si>
  <si>
    <t>Regenerative_side-port_container</t>
  </si>
  <si>
    <t>Regenerative_side-port_flat</t>
  </si>
  <si>
    <t>CCS_glass_furnace</t>
  </si>
  <si>
    <t>Conv_glass_furnace_specific_heat_MWh</t>
  </si>
  <si>
    <t>Oxy_glass_furnace_specific_heat_MWh</t>
  </si>
  <si>
    <t>Gas_heat_conv</t>
  </si>
  <si>
    <t>Hydrogen_heat_conv</t>
  </si>
  <si>
    <t>Gas_heat_oxy</t>
  </si>
  <si>
    <t>Hydrogen_heat_oxy</t>
  </si>
  <si>
    <t>Electric_boost_conv</t>
  </si>
  <si>
    <t>Electric_boost_oxy</t>
  </si>
  <si>
    <t>Hybrid_melter_flat</t>
  </si>
  <si>
    <t>All_electric_furnace_flat</t>
  </si>
  <si>
    <t>Hybrid_melter_container</t>
  </si>
  <si>
    <t>All_electric_furnace_container</t>
  </si>
  <si>
    <t>co2_transport_and_storage_cost</t>
  </si>
  <si>
    <t>E-Fuels</t>
  </si>
  <si>
    <t>E-Kerosene</t>
  </si>
  <si>
    <t>Fischer-Tropsch</t>
  </si>
  <si>
    <t>NC_52</t>
  </si>
  <si>
    <t>Fast_Carb</t>
  </si>
  <si>
    <t>Solidia_clinker</t>
  </si>
  <si>
    <t>BYF_Cement</t>
  </si>
  <si>
    <t>Solidia_cement</t>
  </si>
  <si>
    <t>Solidia_Cement</t>
  </si>
  <si>
    <t>Solidia_Clinker</t>
  </si>
  <si>
    <t>BYF_Clinker</t>
  </si>
  <si>
    <t>BYF_clinker</t>
  </si>
  <si>
    <t>BYF_cement</t>
  </si>
  <si>
    <t>Electrified_Solidia_clinker</t>
  </si>
  <si>
    <t>Electrified_BYF_clinker</t>
  </si>
  <si>
    <t>Fast_Carb_Recycling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</si>
</sst>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11" fontId="0" fillId="0" borderId="4" xfId="0" applyNumberFormat="1" applyFont="1" applyBorder="1"/>
    <xf numFmtId="0" fontId="0" fillId="0" borderId="3" xfId="0" applyFont="1" applyBorder="1"/>
    <xf numFmtId="0" fontId="5" fillId="7" borderId="0" xfId="0" applyFont="1" applyFill="1"/>
    <xf numFmtId="0" fontId="0" fillId="0" borderId="0" xfId="0" applyAlignment="1">
      <alignment vertical="center"/>
    </xf>
    <xf numFmtId="0" fontId="4" fillId="11" borderId="0" xfId="0" applyFont="1" applyFill="1"/>
    <xf numFmtId="0" fontId="0" fillId="12" borderId="0" xfId="0" applyFill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5" fillId="13" borderId="0" xfId="0" applyFont="1" applyFill="1"/>
    <xf numFmtId="0" fontId="5" fillId="14" borderId="0" xfId="0" applyFont="1" applyFill="1"/>
    <xf numFmtId="0" fontId="5" fillId="12" borderId="0" xfId="0" applyFont="1" applyFill="1"/>
    <xf numFmtId="9" fontId="0" fillId="7" borderId="0" xfId="1" applyNumberFormat="1" applyFont="1" applyFill="1"/>
    <xf numFmtId="0" fontId="0" fillId="7" borderId="0" xfId="0" applyFill="1"/>
    <xf numFmtId="0" fontId="5" fillId="15" borderId="0" xfId="0" applyFont="1" applyFill="1"/>
    <xf numFmtId="3" fontId="0" fillId="0" borderId="0" xfId="0" applyNumberFormat="1"/>
    <xf numFmtId="11" fontId="0" fillId="0" borderId="0" xfId="0" applyNumberFormat="1" applyFill="1"/>
    <xf numFmtId="11" fontId="0" fillId="0" borderId="0" xfId="1" applyNumberFormat="1" applyFont="1"/>
    <xf numFmtId="20" fontId="0" fillId="0" borderId="0" xfId="0" applyNumberFormat="1"/>
  </cellXfs>
  <cellStyles count="2">
    <cellStyle name="Millier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498" totalsRowShown="0" headerRowDxfId="15">
  <autoFilter ref="A1:F498" xr:uid="{0228EFE9-A26D-47DE-80C5-467BC8C55473}">
    <filterColumn colId="0">
      <filters>
        <filter val="Gasification"/>
      </filters>
    </filterColumn>
    <filterColumn colId="4">
      <filters>
        <filter val="capex"/>
        <filter val="flow_cost_t"/>
        <filter val="opex_cos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138" totalsRowShown="0" headerRowDxfId="14">
  <autoFilter ref="A1:G138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1CE69-AC13-4DA8-AD73-2474284678A7}" name="Tableau7" displayName="Tableau7" ref="A1:D126" totalsRowShown="0" headerRowDxfId="13" dataDxfId="12">
  <autoFilter ref="A1:D126" xr:uid="{D14D472E-F40B-43E4-A965-487F09B399F1}"/>
  <tableColumns count="4">
    <tableColumn id="1" xr3:uid="{822235A3-F263-4475-9C75-2A5A6AAFEBC8}" name="TECHNOLOGIES" dataDxfId="11"/>
    <tableColumn id="2" xr3:uid="{3D739A6F-E84D-46D5-A241-A6C57340AADB}" name="TECH_TYPE" dataDxfId="10"/>
    <tableColumn id="3" xr3:uid="{D80150F3-0EA4-48BD-9D74-977B347AE8C0}" name="SECTOR" dataDxfId="9"/>
    <tableColumn id="4" xr3:uid="{6256719F-847C-4EE5-8B0F-48EF8B31674C}" name="YEAR" dataDxfId="8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4" totalsRowShown="0" headerRowDxfId="7">
  <autoFilter ref="A1:F614" xr:uid="{0BE97764-31A2-4AB2-B609-6BCFE43756E3}">
    <filterColumn colId="1">
      <filters>
        <filter val="Steel"/>
      </filters>
    </filterColumn>
    <filterColumn colId="4">
      <filters>
        <filter val="output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40" totalsRowShown="0" dataDxfId="6">
  <autoFilter ref="A1:E4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233" totalsRowShown="0">
  <autoFilter ref="A1:G23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8"/>
  <sheetViews>
    <sheetView tabSelected="1" zoomScale="85" zoomScaleNormal="85" workbookViewId="0">
      <selection activeCell="F506" sqref="F506"/>
    </sheetView>
  </sheetViews>
  <sheetFormatPr baseColWidth="10" defaultRowHeight="14.4" x14ac:dyDescent="0.3"/>
  <cols>
    <col min="1" max="1" width="46.6640625" bestFit="1" customWidth="1"/>
    <col min="2" max="2" width="18" customWidth="1"/>
    <col min="5" max="5" width="27.5546875" bestFit="1" customWidth="1"/>
    <col min="6" max="6" width="15.5546875" bestFit="1" customWidth="1"/>
  </cols>
  <sheetData>
    <row r="1" spans="1:6" ht="15.6" x14ac:dyDescent="0.3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3">
      <c r="E2" t="s">
        <v>33</v>
      </c>
      <c r="F2">
        <v>0.08</v>
      </c>
    </row>
    <row r="3" spans="1:6" hidden="1" x14ac:dyDescent="0.3">
      <c r="E3" t="s">
        <v>39</v>
      </c>
      <c r="F3" s="10">
        <v>1.0000000000000001E-5</v>
      </c>
    </row>
    <row r="4" spans="1:6" hidden="1" x14ac:dyDescent="0.3">
      <c r="A4" t="s">
        <v>28</v>
      </c>
      <c r="E4" t="s">
        <v>30</v>
      </c>
      <c r="F4">
        <v>1500</v>
      </c>
    </row>
    <row r="5" spans="1:6" hidden="1" x14ac:dyDescent="0.3">
      <c r="A5" s="20" t="s">
        <v>57</v>
      </c>
      <c r="B5" t="s">
        <v>99</v>
      </c>
      <c r="E5" t="s">
        <v>30</v>
      </c>
    </row>
    <row r="6" spans="1:6" hidden="1" x14ac:dyDescent="0.3">
      <c r="A6" s="20" t="s">
        <v>58</v>
      </c>
      <c r="E6" t="s">
        <v>30</v>
      </c>
      <c r="F6">
        <v>98</v>
      </c>
    </row>
    <row r="7" spans="1:6" hidden="1" x14ac:dyDescent="0.3">
      <c r="A7" s="20" t="s">
        <v>59</v>
      </c>
      <c r="E7" t="s">
        <v>30</v>
      </c>
      <c r="F7">
        <v>98</v>
      </c>
    </row>
    <row r="8" spans="1:6" hidden="1" x14ac:dyDescent="0.3">
      <c r="A8" t="s">
        <v>18</v>
      </c>
      <c r="D8">
        <v>2015</v>
      </c>
      <c r="E8" t="s">
        <v>30</v>
      </c>
      <c r="F8">
        <v>6300</v>
      </c>
    </row>
    <row r="9" spans="1:6" hidden="1" x14ac:dyDescent="0.3">
      <c r="A9" t="s">
        <v>18</v>
      </c>
      <c r="D9">
        <v>2050</v>
      </c>
      <c r="E9" t="s">
        <v>30</v>
      </c>
      <c r="F9">
        <v>1125</v>
      </c>
    </row>
    <row r="10" spans="1:6" hidden="1" x14ac:dyDescent="0.3">
      <c r="A10" t="s">
        <v>19</v>
      </c>
      <c r="E10" t="s">
        <v>30</v>
      </c>
      <c r="F10">
        <v>3243</v>
      </c>
    </row>
    <row r="11" spans="1:6" hidden="1" x14ac:dyDescent="0.3">
      <c r="A11" t="s">
        <v>21</v>
      </c>
      <c r="E11" t="s">
        <v>30</v>
      </c>
      <c r="F11">
        <v>3243</v>
      </c>
    </row>
    <row r="12" spans="1:6" hidden="1" x14ac:dyDescent="0.3">
      <c r="A12" t="s">
        <v>19</v>
      </c>
      <c r="E12" t="s">
        <v>39</v>
      </c>
      <c r="F12">
        <v>546</v>
      </c>
    </row>
    <row r="13" spans="1:6" hidden="1" x14ac:dyDescent="0.3">
      <c r="A13" t="s">
        <v>21</v>
      </c>
      <c r="E13" t="s">
        <v>39</v>
      </c>
      <c r="F13">
        <v>546</v>
      </c>
    </row>
    <row r="14" spans="1:6" x14ac:dyDescent="0.3">
      <c r="A14" t="s">
        <v>41</v>
      </c>
      <c r="E14" t="s">
        <v>30</v>
      </c>
      <c r="F14">
        <v>5443</v>
      </c>
    </row>
    <row r="15" spans="1:6" hidden="1" x14ac:dyDescent="0.3">
      <c r="A15" t="s">
        <v>18</v>
      </c>
      <c r="E15" t="s">
        <v>31</v>
      </c>
      <c r="F15">
        <v>1</v>
      </c>
    </row>
    <row r="16" spans="1:6" hidden="1" x14ac:dyDescent="0.3">
      <c r="A16" t="s">
        <v>19</v>
      </c>
      <c r="E16" t="s">
        <v>31</v>
      </c>
      <c r="F16">
        <v>1</v>
      </c>
    </row>
    <row r="17" spans="1:6" hidden="1" x14ac:dyDescent="0.3">
      <c r="A17" t="s">
        <v>21</v>
      </c>
      <c r="E17" t="s">
        <v>31</v>
      </c>
      <c r="F17">
        <v>1</v>
      </c>
    </row>
    <row r="18" spans="1:6" hidden="1" x14ac:dyDescent="0.3">
      <c r="A18" t="s">
        <v>41</v>
      </c>
      <c r="E18" t="s">
        <v>31</v>
      </c>
      <c r="F18">
        <v>1</v>
      </c>
    </row>
    <row r="19" spans="1:6" hidden="1" x14ac:dyDescent="0.3">
      <c r="A19" t="s">
        <v>27</v>
      </c>
      <c r="E19" t="s">
        <v>32</v>
      </c>
      <c r="F19">
        <v>30</v>
      </c>
    </row>
    <row r="20" spans="1:6" hidden="1" x14ac:dyDescent="0.3">
      <c r="A20" t="s">
        <v>28</v>
      </c>
      <c r="E20" t="s">
        <v>32</v>
      </c>
      <c r="F20">
        <v>30</v>
      </c>
    </row>
    <row r="21" spans="1:6" hidden="1" x14ac:dyDescent="0.3">
      <c r="A21" t="s">
        <v>18</v>
      </c>
      <c r="D21">
        <v>2015</v>
      </c>
      <c r="E21" t="s">
        <v>32</v>
      </c>
      <c r="F21" s="7">
        <v>6.8493150684931505</v>
      </c>
    </row>
    <row r="22" spans="1:6" hidden="1" x14ac:dyDescent="0.3">
      <c r="A22" t="s">
        <v>18</v>
      </c>
      <c r="D22">
        <v>2050</v>
      </c>
      <c r="E22" t="s">
        <v>32</v>
      </c>
      <c r="F22" s="7">
        <v>11.415525114155251</v>
      </c>
    </row>
    <row r="23" spans="1:6" hidden="1" x14ac:dyDescent="0.3">
      <c r="A23" t="s">
        <v>19</v>
      </c>
      <c r="E23" t="s">
        <v>32</v>
      </c>
      <c r="F23">
        <v>30</v>
      </c>
    </row>
    <row r="24" spans="1:6" hidden="1" x14ac:dyDescent="0.3">
      <c r="A24" t="s">
        <v>21</v>
      </c>
      <c r="E24" t="s">
        <v>32</v>
      </c>
      <c r="F24">
        <v>30</v>
      </c>
    </row>
    <row r="25" spans="1:6" hidden="1" x14ac:dyDescent="0.3">
      <c r="A25" t="s">
        <v>41</v>
      </c>
      <c r="E25" t="s">
        <v>32</v>
      </c>
      <c r="F25">
        <v>25</v>
      </c>
    </row>
    <row r="26" spans="1:6" hidden="1" x14ac:dyDescent="0.3">
      <c r="A26" t="s">
        <v>57</v>
      </c>
      <c r="B26" t="s">
        <v>99</v>
      </c>
      <c r="E26" t="s">
        <v>32</v>
      </c>
      <c r="F26">
        <v>25</v>
      </c>
    </row>
    <row r="27" spans="1:6" hidden="1" x14ac:dyDescent="0.3">
      <c r="A27" t="s">
        <v>58</v>
      </c>
      <c r="E27" t="s">
        <v>32</v>
      </c>
      <c r="F27">
        <v>25</v>
      </c>
    </row>
    <row r="28" spans="1:6" hidden="1" x14ac:dyDescent="0.3">
      <c r="A28" t="s">
        <v>59</v>
      </c>
      <c r="E28" t="s">
        <v>32</v>
      </c>
      <c r="F28">
        <v>25</v>
      </c>
    </row>
    <row r="29" spans="1:6" hidden="1" x14ac:dyDescent="0.3">
      <c r="A29" t="s">
        <v>68</v>
      </c>
      <c r="B29" t="s">
        <v>67</v>
      </c>
      <c r="E29" t="s">
        <v>32</v>
      </c>
      <c r="F29">
        <v>50</v>
      </c>
    </row>
    <row r="30" spans="1:6" hidden="1" x14ac:dyDescent="0.3">
      <c r="A30" t="s">
        <v>69</v>
      </c>
      <c r="B30" t="s">
        <v>67</v>
      </c>
      <c r="E30" t="s">
        <v>32</v>
      </c>
      <c r="F30">
        <v>50</v>
      </c>
    </row>
    <row r="31" spans="1:6" hidden="1" x14ac:dyDescent="0.3">
      <c r="A31" t="s">
        <v>70</v>
      </c>
      <c r="B31" t="s">
        <v>67</v>
      </c>
      <c r="E31" t="s">
        <v>32</v>
      </c>
      <c r="F31">
        <v>50</v>
      </c>
    </row>
    <row r="32" spans="1:6" hidden="1" x14ac:dyDescent="0.3">
      <c r="A32" t="s">
        <v>80</v>
      </c>
      <c r="B32" t="s">
        <v>67</v>
      </c>
      <c r="E32" t="s">
        <v>32</v>
      </c>
      <c r="F32">
        <v>50</v>
      </c>
    </row>
    <row r="33" spans="1:6" hidden="1" x14ac:dyDescent="0.3">
      <c r="A33" t="s">
        <v>81</v>
      </c>
      <c r="B33" t="s">
        <v>67</v>
      </c>
      <c r="E33" t="s">
        <v>32</v>
      </c>
      <c r="F33">
        <v>50</v>
      </c>
    </row>
    <row r="34" spans="1:6" hidden="1" x14ac:dyDescent="0.3">
      <c r="A34" t="s">
        <v>71</v>
      </c>
      <c r="B34" t="s">
        <v>67</v>
      </c>
      <c r="E34" t="s">
        <v>32</v>
      </c>
      <c r="F34">
        <v>50</v>
      </c>
    </row>
    <row r="35" spans="1:6" hidden="1" x14ac:dyDescent="0.3">
      <c r="A35" t="s">
        <v>72</v>
      </c>
      <c r="B35" t="s">
        <v>67</v>
      </c>
      <c r="E35" t="s">
        <v>32</v>
      </c>
      <c r="F35">
        <v>50</v>
      </c>
    </row>
    <row r="36" spans="1:6" hidden="1" x14ac:dyDescent="0.3">
      <c r="A36" t="s">
        <v>73</v>
      </c>
      <c r="B36" t="s">
        <v>67</v>
      </c>
      <c r="E36" t="s">
        <v>32</v>
      </c>
      <c r="F36">
        <v>50</v>
      </c>
    </row>
    <row r="37" spans="1:6" hidden="1" x14ac:dyDescent="0.3">
      <c r="A37" t="s">
        <v>74</v>
      </c>
      <c r="B37" t="s">
        <v>67</v>
      </c>
      <c r="E37" t="s">
        <v>32</v>
      </c>
      <c r="F37">
        <v>50</v>
      </c>
    </row>
    <row r="38" spans="1:6" hidden="1" x14ac:dyDescent="0.3">
      <c r="A38" t="s">
        <v>75</v>
      </c>
      <c r="B38" t="s">
        <v>67</v>
      </c>
      <c r="E38" t="s">
        <v>32</v>
      </c>
      <c r="F38">
        <v>50</v>
      </c>
    </row>
    <row r="39" spans="1:6" hidden="1" x14ac:dyDescent="0.3">
      <c r="A39" t="s">
        <v>68</v>
      </c>
      <c r="B39" t="s">
        <v>67</v>
      </c>
      <c r="E39" t="s">
        <v>30</v>
      </c>
      <c r="F39">
        <v>211</v>
      </c>
    </row>
    <row r="40" spans="1:6" hidden="1" x14ac:dyDescent="0.3">
      <c r="A40" t="s">
        <v>69</v>
      </c>
      <c r="B40" t="s">
        <v>67</v>
      </c>
      <c r="E40" t="s">
        <v>30</v>
      </c>
      <c r="F40">
        <v>211</v>
      </c>
    </row>
    <row r="41" spans="1:6" hidden="1" x14ac:dyDescent="0.3">
      <c r="A41" t="s">
        <v>70</v>
      </c>
      <c r="B41" t="s">
        <v>67</v>
      </c>
      <c r="E41" t="s">
        <v>30</v>
      </c>
      <c r="F41">
        <v>211</v>
      </c>
    </row>
    <row r="42" spans="1:6" hidden="1" x14ac:dyDescent="0.3">
      <c r="A42" t="s">
        <v>80</v>
      </c>
      <c r="B42" t="s">
        <v>67</v>
      </c>
      <c r="E42" t="s">
        <v>30</v>
      </c>
      <c r="F42">
        <v>211</v>
      </c>
    </row>
    <row r="43" spans="1:6" hidden="1" x14ac:dyDescent="0.3">
      <c r="A43" t="s">
        <v>81</v>
      </c>
      <c r="B43" t="s">
        <v>67</v>
      </c>
      <c r="E43" t="s">
        <v>30</v>
      </c>
      <c r="F43">
        <v>211</v>
      </c>
    </row>
    <row r="44" spans="1:6" hidden="1" x14ac:dyDescent="0.3">
      <c r="A44" t="s">
        <v>68</v>
      </c>
      <c r="B44" t="s">
        <v>67</v>
      </c>
      <c r="C44" t="s">
        <v>24</v>
      </c>
      <c r="D44">
        <v>2015</v>
      </c>
      <c r="E44" t="s">
        <v>63</v>
      </c>
      <c r="F44">
        <v>0</v>
      </c>
    </row>
    <row r="45" spans="1:6" hidden="1" x14ac:dyDescent="0.3">
      <c r="A45" t="s">
        <v>69</v>
      </c>
      <c r="B45" t="s">
        <v>67</v>
      </c>
      <c r="C45" t="s">
        <v>24</v>
      </c>
      <c r="D45">
        <v>2015</v>
      </c>
      <c r="E45" t="s">
        <v>63</v>
      </c>
      <c r="F45">
        <v>0</v>
      </c>
    </row>
    <row r="46" spans="1:6" hidden="1" x14ac:dyDescent="0.3">
      <c r="A46" t="s">
        <v>70</v>
      </c>
      <c r="B46" t="s">
        <v>67</v>
      </c>
      <c r="C46" t="s">
        <v>24</v>
      </c>
      <c r="D46">
        <v>2015</v>
      </c>
      <c r="E46" t="s">
        <v>63</v>
      </c>
      <c r="F46">
        <v>0</v>
      </c>
    </row>
    <row r="47" spans="1:6" hidden="1" x14ac:dyDescent="0.3">
      <c r="A47" t="s">
        <v>80</v>
      </c>
      <c r="B47" t="s">
        <v>67</v>
      </c>
      <c r="C47" t="s">
        <v>24</v>
      </c>
      <c r="D47">
        <v>2015</v>
      </c>
      <c r="E47" t="s">
        <v>63</v>
      </c>
      <c r="F47">
        <v>0</v>
      </c>
    </row>
    <row r="48" spans="1:6" hidden="1" x14ac:dyDescent="0.3">
      <c r="A48" t="s">
        <v>81</v>
      </c>
      <c r="B48" t="s">
        <v>67</v>
      </c>
      <c r="C48" t="s">
        <v>24</v>
      </c>
      <c r="D48">
        <v>2015</v>
      </c>
      <c r="E48" t="s">
        <v>63</v>
      </c>
      <c r="F48">
        <v>0</v>
      </c>
    </row>
    <row r="49" spans="1:6" hidden="1" x14ac:dyDescent="0.3">
      <c r="A49" t="s">
        <v>68</v>
      </c>
      <c r="B49" t="s">
        <v>67</v>
      </c>
      <c r="C49" t="s">
        <v>25</v>
      </c>
      <c r="D49">
        <v>2015</v>
      </c>
      <c r="E49" t="s">
        <v>63</v>
      </c>
      <c r="F49">
        <v>0</v>
      </c>
    </row>
    <row r="50" spans="1:6" hidden="1" x14ac:dyDescent="0.3">
      <c r="A50" t="s">
        <v>69</v>
      </c>
      <c r="B50" t="s">
        <v>67</v>
      </c>
      <c r="C50" t="s">
        <v>25</v>
      </c>
      <c r="D50">
        <v>2015</v>
      </c>
      <c r="E50" t="s">
        <v>63</v>
      </c>
      <c r="F50">
        <v>0</v>
      </c>
    </row>
    <row r="51" spans="1:6" hidden="1" x14ac:dyDescent="0.3">
      <c r="A51" t="s">
        <v>70</v>
      </c>
      <c r="B51" t="s">
        <v>67</v>
      </c>
      <c r="C51" t="s">
        <v>25</v>
      </c>
      <c r="D51">
        <v>2015</v>
      </c>
      <c r="E51" t="s">
        <v>63</v>
      </c>
      <c r="F51">
        <v>0</v>
      </c>
    </row>
    <row r="52" spans="1:6" hidden="1" x14ac:dyDescent="0.3">
      <c r="A52" t="s">
        <v>80</v>
      </c>
      <c r="B52" t="s">
        <v>67</v>
      </c>
      <c r="C52" t="s">
        <v>25</v>
      </c>
      <c r="D52">
        <v>2015</v>
      </c>
      <c r="E52" t="s">
        <v>63</v>
      </c>
      <c r="F52">
        <v>0</v>
      </c>
    </row>
    <row r="53" spans="1:6" hidden="1" x14ac:dyDescent="0.3">
      <c r="A53" t="s">
        <v>81</v>
      </c>
      <c r="B53" t="s">
        <v>67</v>
      </c>
      <c r="C53" t="s">
        <v>25</v>
      </c>
      <c r="D53">
        <v>2015</v>
      </c>
      <c r="E53" t="s">
        <v>63</v>
      </c>
      <c r="F53">
        <v>0</v>
      </c>
    </row>
    <row r="54" spans="1:6" hidden="1" x14ac:dyDescent="0.3">
      <c r="A54" t="s">
        <v>68</v>
      </c>
      <c r="B54" t="s">
        <v>67</v>
      </c>
      <c r="C54" t="s">
        <v>87</v>
      </c>
      <c r="D54">
        <v>2015</v>
      </c>
      <c r="E54" t="s">
        <v>63</v>
      </c>
      <c r="F54">
        <v>0</v>
      </c>
    </row>
    <row r="55" spans="1:6" hidden="1" x14ac:dyDescent="0.3">
      <c r="A55" t="s">
        <v>69</v>
      </c>
      <c r="B55" t="s">
        <v>67</v>
      </c>
      <c r="C55" t="s">
        <v>87</v>
      </c>
      <c r="D55">
        <v>2015</v>
      </c>
      <c r="E55" t="s">
        <v>63</v>
      </c>
      <c r="F55">
        <v>0</v>
      </c>
    </row>
    <row r="56" spans="1:6" hidden="1" x14ac:dyDescent="0.3">
      <c r="A56" t="s">
        <v>70</v>
      </c>
      <c r="B56" t="s">
        <v>67</v>
      </c>
      <c r="C56" t="s">
        <v>87</v>
      </c>
      <c r="D56">
        <v>2015</v>
      </c>
      <c r="E56" t="s">
        <v>63</v>
      </c>
      <c r="F56">
        <v>0</v>
      </c>
    </row>
    <row r="57" spans="1:6" hidden="1" x14ac:dyDescent="0.3">
      <c r="A57" t="s">
        <v>80</v>
      </c>
      <c r="B57" t="s">
        <v>67</v>
      </c>
      <c r="C57" t="s">
        <v>87</v>
      </c>
      <c r="D57">
        <v>2015</v>
      </c>
      <c r="E57" t="s">
        <v>63</v>
      </c>
      <c r="F57">
        <v>0</v>
      </c>
    </row>
    <row r="58" spans="1:6" hidden="1" x14ac:dyDescent="0.3">
      <c r="A58" t="s">
        <v>81</v>
      </c>
      <c r="B58" t="s">
        <v>67</v>
      </c>
      <c r="C58" t="s">
        <v>87</v>
      </c>
      <c r="D58">
        <v>2015</v>
      </c>
      <c r="E58" t="s">
        <v>63</v>
      </c>
      <c r="F58">
        <v>0</v>
      </c>
    </row>
    <row r="59" spans="1:6" hidden="1" x14ac:dyDescent="0.3">
      <c r="A59" t="s">
        <v>68</v>
      </c>
      <c r="B59" t="s">
        <v>67</v>
      </c>
      <c r="C59" t="s">
        <v>88</v>
      </c>
      <c r="D59">
        <v>2015</v>
      </c>
      <c r="E59" t="s">
        <v>63</v>
      </c>
      <c r="F59">
        <v>0</v>
      </c>
    </row>
    <row r="60" spans="1:6" hidden="1" x14ac:dyDescent="0.3">
      <c r="A60" t="s">
        <v>69</v>
      </c>
      <c r="B60" t="s">
        <v>67</v>
      </c>
      <c r="C60" t="s">
        <v>88</v>
      </c>
      <c r="D60">
        <v>2015</v>
      </c>
      <c r="E60" t="s">
        <v>63</v>
      </c>
      <c r="F60">
        <v>0</v>
      </c>
    </row>
    <row r="61" spans="1:6" hidden="1" x14ac:dyDescent="0.3">
      <c r="A61" t="s">
        <v>70</v>
      </c>
      <c r="B61" t="s">
        <v>67</v>
      </c>
      <c r="C61" t="s">
        <v>88</v>
      </c>
      <c r="D61">
        <v>2015</v>
      </c>
      <c r="E61" t="s">
        <v>63</v>
      </c>
      <c r="F61">
        <v>0</v>
      </c>
    </row>
    <row r="62" spans="1:6" hidden="1" x14ac:dyDescent="0.3">
      <c r="A62" t="s">
        <v>80</v>
      </c>
      <c r="B62" t="s">
        <v>67</v>
      </c>
      <c r="C62" t="s">
        <v>88</v>
      </c>
      <c r="D62">
        <v>2015</v>
      </c>
      <c r="E62" t="s">
        <v>63</v>
      </c>
      <c r="F62">
        <v>0</v>
      </c>
    </row>
    <row r="63" spans="1:6" hidden="1" x14ac:dyDescent="0.3">
      <c r="A63" t="s">
        <v>81</v>
      </c>
      <c r="B63" t="s">
        <v>67</v>
      </c>
      <c r="C63" t="s">
        <v>88</v>
      </c>
      <c r="D63">
        <v>2015</v>
      </c>
      <c r="E63" t="s">
        <v>63</v>
      </c>
      <c r="F63">
        <v>0</v>
      </c>
    </row>
    <row r="64" spans="1:6" hidden="1" x14ac:dyDescent="0.3">
      <c r="A64" t="s">
        <v>68</v>
      </c>
      <c r="B64" t="s">
        <v>67</v>
      </c>
      <c r="C64" t="s">
        <v>89</v>
      </c>
      <c r="D64">
        <v>2015</v>
      </c>
      <c r="E64" t="s">
        <v>63</v>
      </c>
      <c r="F64">
        <v>0</v>
      </c>
    </row>
    <row r="65" spans="1:6" hidden="1" x14ac:dyDescent="0.3">
      <c r="A65" t="s">
        <v>69</v>
      </c>
      <c r="B65" t="s">
        <v>67</v>
      </c>
      <c r="C65" t="s">
        <v>89</v>
      </c>
      <c r="D65">
        <v>2015</v>
      </c>
      <c r="E65" t="s">
        <v>63</v>
      </c>
      <c r="F65">
        <v>0</v>
      </c>
    </row>
    <row r="66" spans="1:6" hidden="1" x14ac:dyDescent="0.3">
      <c r="A66" t="s">
        <v>70</v>
      </c>
      <c r="B66" t="s">
        <v>67</v>
      </c>
      <c r="C66" t="s">
        <v>89</v>
      </c>
      <c r="D66">
        <v>2015</v>
      </c>
      <c r="E66" t="s">
        <v>63</v>
      </c>
      <c r="F66">
        <v>0</v>
      </c>
    </row>
    <row r="67" spans="1:6" hidden="1" x14ac:dyDescent="0.3">
      <c r="A67" t="s">
        <v>80</v>
      </c>
      <c r="B67" t="s">
        <v>67</v>
      </c>
      <c r="C67" t="s">
        <v>89</v>
      </c>
      <c r="D67">
        <v>2015</v>
      </c>
      <c r="E67" t="s">
        <v>63</v>
      </c>
      <c r="F67">
        <v>0</v>
      </c>
    </row>
    <row r="68" spans="1:6" hidden="1" x14ac:dyDescent="0.3">
      <c r="A68" t="s">
        <v>81</v>
      </c>
      <c r="B68" t="s">
        <v>67</v>
      </c>
      <c r="C68" t="s">
        <v>89</v>
      </c>
      <c r="D68">
        <v>2015</v>
      </c>
      <c r="E68" t="s">
        <v>63</v>
      </c>
      <c r="F68">
        <v>0</v>
      </c>
    </row>
    <row r="69" spans="1:6" hidden="1" x14ac:dyDescent="0.3">
      <c r="A69" t="s">
        <v>68</v>
      </c>
      <c r="B69" t="s">
        <v>67</v>
      </c>
      <c r="C69" t="s">
        <v>90</v>
      </c>
      <c r="D69">
        <v>2015</v>
      </c>
      <c r="E69" t="s">
        <v>63</v>
      </c>
      <c r="F69">
        <v>0</v>
      </c>
    </row>
    <row r="70" spans="1:6" hidden="1" x14ac:dyDescent="0.3">
      <c r="A70" t="s">
        <v>69</v>
      </c>
      <c r="B70" t="s">
        <v>67</v>
      </c>
      <c r="C70" t="s">
        <v>90</v>
      </c>
      <c r="D70">
        <v>2015</v>
      </c>
      <c r="E70" t="s">
        <v>63</v>
      </c>
      <c r="F70">
        <v>0</v>
      </c>
    </row>
    <row r="71" spans="1:6" hidden="1" x14ac:dyDescent="0.3">
      <c r="A71" t="s">
        <v>70</v>
      </c>
      <c r="B71" t="s">
        <v>67</v>
      </c>
      <c r="C71" t="s">
        <v>90</v>
      </c>
      <c r="D71">
        <v>2015</v>
      </c>
      <c r="E71" t="s">
        <v>63</v>
      </c>
      <c r="F71">
        <v>0</v>
      </c>
    </row>
    <row r="72" spans="1:6" hidden="1" x14ac:dyDescent="0.3">
      <c r="A72" t="s">
        <v>80</v>
      </c>
      <c r="B72" t="s">
        <v>67</v>
      </c>
      <c r="C72" t="s">
        <v>90</v>
      </c>
      <c r="D72">
        <v>2015</v>
      </c>
      <c r="E72" t="s">
        <v>63</v>
      </c>
      <c r="F72">
        <v>0</v>
      </c>
    </row>
    <row r="73" spans="1:6" hidden="1" x14ac:dyDescent="0.3">
      <c r="A73" t="s">
        <v>81</v>
      </c>
      <c r="B73" t="s">
        <v>67</v>
      </c>
      <c r="C73" t="s">
        <v>90</v>
      </c>
      <c r="D73">
        <v>2015</v>
      </c>
      <c r="E73" t="s">
        <v>63</v>
      </c>
      <c r="F73">
        <v>0</v>
      </c>
    </row>
    <row r="74" spans="1:6" hidden="1" x14ac:dyDescent="0.3">
      <c r="A74" t="s">
        <v>68</v>
      </c>
      <c r="B74" t="s">
        <v>67</v>
      </c>
      <c r="C74" t="s">
        <v>24</v>
      </c>
      <c r="E74" t="s">
        <v>63</v>
      </c>
      <c r="F74" s="10">
        <v>3200000</v>
      </c>
    </row>
    <row r="75" spans="1:6" hidden="1" x14ac:dyDescent="0.3">
      <c r="A75" t="s">
        <v>69</v>
      </c>
      <c r="B75" t="s">
        <v>67</v>
      </c>
      <c r="C75" t="s">
        <v>24</v>
      </c>
      <c r="E75" t="s">
        <v>63</v>
      </c>
      <c r="F75" s="10">
        <v>3200000</v>
      </c>
    </row>
    <row r="76" spans="1:6" hidden="1" x14ac:dyDescent="0.3">
      <c r="A76" t="s">
        <v>70</v>
      </c>
      <c r="B76" t="s">
        <v>67</v>
      </c>
      <c r="C76" t="s">
        <v>24</v>
      </c>
      <c r="E76" t="s">
        <v>63</v>
      </c>
      <c r="F76" s="10">
        <v>3200000</v>
      </c>
    </row>
    <row r="77" spans="1:6" hidden="1" x14ac:dyDescent="0.3">
      <c r="A77" t="s">
        <v>80</v>
      </c>
      <c r="B77" t="s">
        <v>67</v>
      </c>
      <c r="C77" t="s">
        <v>24</v>
      </c>
      <c r="E77" t="s">
        <v>63</v>
      </c>
      <c r="F77" s="10">
        <v>800000</v>
      </c>
    </row>
    <row r="78" spans="1:6" hidden="1" x14ac:dyDescent="0.3">
      <c r="A78" t="s">
        <v>81</v>
      </c>
      <c r="B78" t="s">
        <v>67</v>
      </c>
      <c r="C78" t="s">
        <v>24</v>
      </c>
      <c r="E78" t="s">
        <v>63</v>
      </c>
      <c r="F78" s="10">
        <v>800000</v>
      </c>
    </row>
    <row r="79" spans="1:6" hidden="1" x14ac:dyDescent="0.3">
      <c r="A79" t="s">
        <v>68</v>
      </c>
      <c r="B79" t="s">
        <v>67</v>
      </c>
      <c r="C79" t="s">
        <v>25</v>
      </c>
      <c r="E79" t="s">
        <v>63</v>
      </c>
      <c r="F79" s="10">
        <v>6600000.0000000009</v>
      </c>
    </row>
    <row r="80" spans="1:6" hidden="1" x14ac:dyDescent="0.3">
      <c r="A80" t="s">
        <v>69</v>
      </c>
      <c r="B80" t="s">
        <v>67</v>
      </c>
      <c r="C80" t="s">
        <v>25</v>
      </c>
      <c r="E80" t="s">
        <v>63</v>
      </c>
      <c r="F80" s="10">
        <v>6600000.0000000009</v>
      </c>
    </row>
    <row r="81" spans="1:6" hidden="1" x14ac:dyDescent="0.3">
      <c r="A81" t="s">
        <v>70</v>
      </c>
      <c r="B81" t="s">
        <v>67</v>
      </c>
      <c r="C81" t="s">
        <v>25</v>
      </c>
      <c r="E81" t="s">
        <v>63</v>
      </c>
      <c r="F81" s="10">
        <v>6600000.0000000009</v>
      </c>
    </row>
    <row r="82" spans="1:6" hidden="1" x14ac:dyDescent="0.3">
      <c r="A82" t="s">
        <v>80</v>
      </c>
      <c r="B82" t="s">
        <v>67</v>
      </c>
      <c r="C82" t="s">
        <v>25</v>
      </c>
      <c r="E82" t="s">
        <v>63</v>
      </c>
      <c r="F82" s="10">
        <v>1650000.0000000002</v>
      </c>
    </row>
    <row r="83" spans="1:6" hidden="1" x14ac:dyDescent="0.3">
      <c r="A83" t="s">
        <v>81</v>
      </c>
      <c r="B83" t="s">
        <v>67</v>
      </c>
      <c r="C83" t="s">
        <v>25</v>
      </c>
      <c r="E83" t="s">
        <v>63</v>
      </c>
      <c r="F83" s="10">
        <v>1650000.0000000002</v>
      </c>
    </row>
    <row r="84" spans="1:6" hidden="1" x14ac:dyDescent="0.3">
      <c r="A84" t="s">
        <v>68</v>
      </c>
      <c r="B84" t="s">
        <v>67</v>
      </c>
      <c r="E84" t="s">
        <v>39</v>
      </c>
      <c r="F84">
        <v>28.5</v>
      </c>
    </row>
    <row r="85" spans="1:6" hidden="1" x14ac:dyDescent="0.3">
      <c r="A85" t="s">
        <v>69</v>
      </c>
      <c r="B85" t="s">
        <v>67</v>
      </c>
      <c r="E85" t="s">
        <v>39</v>
      </c>
      <c r="F85">
        <v>28.5</v>
      </c>
    </row>
    <row r="86" spans="1:6" hidden="1" x14ac:dyDescent="0.3">
      <c r="A86" t="s">
        <v>70</v>
      </c>
      <c r="B86" t="s">
        <v>67</v>
      </c>
      <c r="E86" t="s">
        <v>39</v>
      </c>
      <c r="F86">
        <v>28.5</v>
      </c>
    </row>
    <row r="87" spans="1:6" hidden="1" x14ac:dyDescent="0.3">
      <c r="A87" t="s">
        <v>80</v>
      </c>
      <c r="B87" t="s">
        <v>67</v>
      </c>
      <c r="E87" t="s">
        <v>39</v>
      </c>
      <c r="F87">
        <v>28.5</v>
      </c>
    </row>
    <row r="88" spans="1:6" hidden="1" x14ac:dyDescent="0.3">
      <c r="A88" t="s">
        <v>81</v>
      </c>
      <c r="B88" t="s">
        <v>67</v>
      </c>
      <c r="E88" t="s">
        <v>39</v>
      </c>
      <c r="F88">
        <v>28.5</v>
      </c>
    </row>
    <row r="89" spans="1:6" hidden="1" x14ac:dyDescent="0.3">
      <c r="A89" t="s">
        <v>68</v>
      </c>
      <c r="B89" t="s">
        <v>67</v>
      </c>
      <c r="E89" t="s">
        <v>61</v>
      </c>
      <c r="F89" t="s">
        <v>78</v>
      </c>
    </row>
    <row r="90" spans="1:6" hidden="1" x14ac:dyDescent="0.3">
      <c r="A90" t="s">
        <v>69</v>
      </c>
      <c r="B90" t="s">
        <v>67</v>
      </c>
      <c r="E90" t="s">
        <v>61</v>
      </c>
      <c r="F90" t="s">
        <v>78</v>
      </c>
    </row>
    <row r="91" spans="1:6" hidden="1" x14ac:dyDescent="0.3">
      <c r="A91" t="s">
        <v>70</v>
      </c>
      <c r="B91" t="s">
        <v>67</v>
      </c>
      <c r="E91" t="s">
        <v>61</v>
      </c>
      <c r="F91" t="s">
        <v>78</v>
      </c>
    </row>
    <row r="92" spans="1:6" hidden="1" x14ac:dyDescent="0.3">
      <c r="A92" t="s">
        <v>80</v>
      </c>
      <c r="B92" t="s">
        <v>67</v>
      </c>
      <c r="E92" t="s">
        <v>61</v>
      </c>
      <c r="F92" t="s">
        <v>78</v>
      </c>
    </row>
    <row r="93" spans="1:6" hidden="1" x14ac:dyDescent="0.3">
      <c r="A93" t="s">
        <v>81</v>
      </c>
      <c r="B93" t="s">
        <v>67</v>
      </c>
      <c r="E93" t="s">
        <v>61</v>
      </c>
      <c r="F93" t="s">
        <v>78</v>
      </c>
    </row>
    <row r="94" spans="1:6" hidden="1" x14ac:dyDescent="0.3">
      <c r="A94" t="s">
        <v>27</v>
      </c>
      <c r="E94" t="s">
        <v>61</v>
      </c>
      <c r="F94" t="s">
        <v>9</v>
      </c>
    </row>
    <row r="95" spans="1:6" hidden="1" x14ac:dyDescent="0.3">
      <c r="A95" t="s">
        <v>28</v>
      </c>
      <c r="E95" t="s">
        <v>61</v>
      </c>
      <c r="F95" t="s">
        <v>9</v>
      </c>
    </row>
    <row r="96" spans="1:6" hidden="1" x14ac:dyDescent="0.3">
      <c r="A96" t="s">
        <v>57</v>
      </c>
      <c r="B96" t="s">
        <v>99</v>
      </c>
      <c r="E96" t="s">
        <v>61</v>
      </c>
      <c r="F96" t="s">
        <v>56</v>
      </c>
    </row>
    <row r="97" spans="1:6" hidden="1" x14ac:dyDescent="0.3">
      <c r="A97" t="s">
        <v>58</v>
      </c>
      <c r="E97" t="s">
        <v>61</v>
      </c>
      <c r="F97" t="s">
        <v>55</v>
      </c>
    </row>
    <row r="98" spans="1:6" hidden="1" x14ac:dyDescent="0.3">
      <c r="A98" t="s">
        <v>59</v>
      </c>
      <c r="E98" t="s">
        <v>61</v>
      </c>
      <c r="F98" t="s">
        <v>22</v>
      </c>
    </row>
    <row r="99" spans="1:6" hidden="1" x14ac:dyDescent="0.3">
      <c r="A99" t="s">
        <v>18</v>
      </c>
      <c r="E99" t="s">
        <v>61</v>
      </c>
      <c r="F99" t="s">
        <v>11</v>
      </c>
    </row>
    <row r="100" spans="1:6" hidden="1" x14ac:dyDescent="0.3">
      <c r="A100" t="s">
        <v>19</v>
      </c>
      <c r="E100" t="s">
        <v>61</v>
      </c>
      <c r="F100" t="s">
        <v>11</v>
      </c>
    </row>
    <row r="101" spans="1:6" hidden="1" x14ac:dyDescent="0.3">
      <c r="A101" t="s">
        <v>21</v>
      </c>
      <c r="E101" t="s">
        <v>61</v>
      </c>
      <c r="F101" t="s">
        <v>11</v>
      </c>
    </row>
    <row r="102" spans="1:6" hidden="1" x14ac:dyDescent="0.3">
      <c r="A102" t="s">
        <v>41</v>
      </c>
      <c r="E102" t="s">
        <v>61</v>
      </c>
      <c r="F102" t="s">
        <v>11</v>
      </c>
    </row>
    <row r="103" spans="1:6" hidden="1" x14ac:dyDescent="0.3">
      <c r="A103" t="s">
        <v>34</v>
      </c>
      <c r="E103" t="s">
        <v>61</v>
      </c>
      <c r="F103" t="s">
        <v>11</v>
      </c>
    </row>
    <row r="104" spans="1:6" hidden="1" x14ac:dyDescent="0.3">
      <c r="A104" t="s">
        <v>71</v>
      </c>
      <c r="B104" t="s">
        <v>67</v>
      </c>
      <c r="E104" t="s">
        <v>61</v>
      </c>
      <c r="F104" t="s">
        <v>64</v>
      </c>
    </row>
    <row r="105" spans="1:6" hidden="1" x14ac:dyDescent="0.3">
      <c r="A105" t="s">
        <v>72</v>
      </c>
      <c r="B105" t="s">
        <v>67</v>
      </c>
      <c r="E105" t="s">
        <v>61</v>
      </c>
      <c r="F105" t="s">
        <v>65</v>
      </c>
    </row>
    <row r="106" spans="1:6" hidden="1" x14ac:dyDescent="0.3">
      <c r="A106" t="s">
        <v>73</v>
      </c>
      <c r="B106" t="s">
        <v>67</v>
      </c>
      <c r="E106" t="s">
        <v>61</v>
      </c>
      <c r="F106" t="s">
        <v>79</v>
      </c>
    </row>
    <row r="107" spans="1:6" hidden="1" x14ac:dyDescent="0.3">
      <c r="A107" t="s">
        <v>74</v>
      </c>
      <c r="B107" t="s">
        <v>67</v>
      </c>
      <c r="E107" t="s">
        <v>61</v>
      </c>
      <c r="F107" t="s">
        <v>66</v>
      </c>
    </row>
    <row r="108" spans="1:6" hidden="1" x14ac:dyDescent="0.3">
      <c r="A108" t="s">
        <v>75</v>
      </c>
      <c r="B108" t="s">
        <v>67</v>
      </c>
      <c r="E108" t="s">
        <v>61</v>
      </c>
      <c r="F108" t="s">
        <v>77</v>
      </c>
    </row>
    <row r="109" spans="1:6" hidden="1" x14ac:dyDescent="0.3">
      <c r="A109" t="s">
        <v>27</v>
      </c>
      <c r="C109" t="s">
        <v>24</v>
      </c>
      <c r="D109">
        <v>2015</v>
      </c>
      <c r="E109" t="s">
        <v>35</v>
      </c>
      <c r="F109">
        <v>1598.2</v>
      </c>
    </row>
    <row r="110" spans="1:6" hidden="1" x14ac:dyDescent="0.3">
      <c r="A110" t="s">
        <v>27</v>
      </c>
      <c r="C110" t="s">
        <v>24</v>
      </c>
      <c r="D110">
        <v>2050</v>
      </c>
      <c r="E110" t="s">
        <v>35</v>
      </c>
      <c r="F110">
        <v>775.52</v>
      </c>
    </row>
    <row r="111" spans="1:6" hidden="1" x14ac:dyDescent="0.3">
      <c r="A111" t="s">
        <v>27</v>
      </c>
      <c r="C111" t="s">
        <v>25</v>
      </c>
      <c r="D111">
        <v>2015</v>
      </c>
      <c r="E111" t="s">
        <v>35</v>
      </c>
      <c r="F111">
        <v>1598.2</v>
      </c>
    </row>
    <row r="112" spans="1:6" hidden="1" x14ac:dyDescent="0.3">
      <c r="A112" t="s">
        <v>27</v>
      </c>
      <c r="C112" t="s">
        <v>25</v>
      </c>
      <c r="D112">
        <v>2050</v>
      </c>
      <c r="E112" t="s">
        <v>35</v>
      </c>
      <c r="F112">
        <v>963.72333333333347</v>
      </c>
    </row>
    <row r="113" spans="1:6" hidden="1" x14ac:dyDescent="0.3">
      <c r="A113" t="s">
        <v>27</v>
      </c>
      <c r="C113" t="s">
        <v>87</v>
      </c>
      <c r="D113">
        <v>2015</v>
      </c>
      <c r="E113" t="s">
        <v>35</v>
      </c>
      <c r="F113">
        <v>1598.2</v>
      </c>
    </row>
    <row r="114" spans="1:6" hidden="1" x14ac:dyDescent="0.3">
      <c r="A114" t="s">
        <v>27</v>
      </c>
      <c r="C114" t="s">
        <v>87</v>
      </c>
      <c r="D114">
        <v>2050</v>
      </c>
      <c r="E114" t="s">
        <v>35</v>
      </c>
      <c r="F114">
        <v>833.16</v>
      </c>
    </row>
    <row r="115" spans="1:6" hidden="1" x14ac:dyDescent="0.3">
      <c r="A115" t="s">
        <v>27</v>
      </c>
      <c r="C115" t="s">
        <v>88</v>
      </c>
      <c r="D115">
        <v>2015</v>
      </c>
      <c r="E115" t="s">
        <v>35</v>
      </c>
      <c r="F115">
        <v>1598.2</v>
      </c>
    </row>
    <row r="116" spans="1:6" hidden="1" x14ac:dyDescent="0.3">
      <c r="A116" t="s">
        <v>27</v>
      </c>
      <c r="C116" t="s">
        <v>88</v>
      </c>
      <c r="D116">
        <v>2050</v>
      </c>
      <c r="E116" t="s">
        <v>35</v>
      </c>
      <c r="F116">
        <v>805.88818181818181</v>
      </c>
    </row>
    <row r="117" spans="1:6" hidden="1" x14ac:dyDescent="0.3">
      <c r="A117" t="s">
        <v>27</v>
      </c>
      <c r="C117" t="s">
        <v>89</v>
      </c>
      <c r="D117">
        <v>2015</v>
      </c>
      <c r="E117" t="s">
        <v>35</v>
      </c>
      <c r="F117">
        <v>1598.2</v>
      </c>
    </row>
    <row r="118" spans="1:6" hidden="1" x14ac:dyDescent="0.3">
      <c r="A118" t="s">
        <v>27</v>
      </c>
      <c r="C118" t="s">
        <v>89</v>
      </c>
      <c r="D118">
        <v>2050</v>
      </c>
      <c r="E118" t="s">
        <v>35</v>
      </c>
      <c r="F118">
        <v>762.32642857142866</v>
      </c>
    </row>
    <row r="119" spans="1:6" hidden="1" x14ac:dyDescent="0.3">
      <c r="A119" t="s">
        <v>27</v>
      </c>
      <c r="C119" t="s">
        <v>90</v>
      </c>
      <c r="D119">
        <v>2015</v>
      </c>
      <c r="E119" t="s">
        <v>35</v>
      </c>
      <c r="F119">
        <v>1598.2</v>
      </c>
    </row>
    <row r="120" spans="1:6" hidden="1" x14ac:dyDescent="0.3">
      <c r="A120" t="s">
        <v>27</v>
      </c>
      <c r="C120" t="s">
        <v>90</v>
      </c>
      <c r="D120">
        <v>2050</v>
      </c>
      <c r="E120" t="s">
        <v>35</v>
      </c>
      <c r="F120">
        <v>746.69999999999993</v>
      </c>
    </row>
    <row r="121" spans="1:6" hidden="1" x14ac:dyDescent="0.3">
      <c r="A121" t="s">
        <v>98</v>
      </c>
      <c r="B121" t="s">
        <v>99</v>
      </c>
      <c r="E121" t="s">
        <v>30</v>
      </c>
    </row>
    <row r="122" spans="1:6" hidden="1" x14ac:dyDescent="0.3">
      <c r="A122" t="s">
        <v>100</v>
      </c>
      <c r="B122" t="s">
        <v>99</v>
      </c>
      <c r="E122" t="s">
        <v>30</v>
      </c>
      <c r="F122" s="33">
        <v>725</v>
      </c>
    </row>
    <row r="123" spans="1:6" hidden="1" x14ac:dyDescent="0.3">
      <c r="A123" t="s">
        <v>100</v>
      </c>
      <c r="B123" t="s">
        <v>99</v>
      </c>
      <c r="E123" t="s">
        <v>39</v>
      </c>
      <c r="F123">
        <v>76.42</v>
      </c>
    </row>
    <row r="124" spans="1:6" hidden="1" x14ac:dyDescent="0.3">
      <c r="A124" t="s">
        <v>101</v>
      </c>
      <c r="B124" t="s">
        <v>99</v>
      </c>
      <c r="E124" t="s">
        <v>30</v>
      </c>
      <c r="F124" s="33">
        <v>1100</v>
      </c>
    </row>
    <row r="125" spans="1:6" hidden="1" x14ac:dyDescent="0.3">
      <c r="A125" t="s">
        <v>101</v>
      </c>
      <c r="B125" t="s">
        <v>99</v>
      </c>
      <c r="E125" t="s">
        <v>39</v>
      </c>
      <c r="F125">
        <v>76.42</v>
      </c>
    </row>
    <row r="126" spans="1:6" hidden="1" x14ac:dyDescent="0.3">
      <c r="A126" t="s">
        <v>102</v>
      </c>
      <c r="B126" t="s">
        <v>99</v>
      </c>
      <c r="E126" t="s">
        <v>30</v>
      </c>
      <c r="F126">
        <v>1000</v>
      </c>
    </row>
    <row r="127" spans="1:6" hidden="1" x14ac:dyDescent="0.3">
      <c r="A127" t="s">
        <v>105</v>
      </c>
      <c r="B127" t="s">
        <v>99</v>
      </c>
      <c r="E127" t="s">
        <v>30</v>
      </c>
      <c r="F127">
        <v>1274</v>
      </c>
    </row>
    <row r="128" spans="1:6" hidden="1" x14ac:dyDescent="0.3">
      <c r="A128" t="s">
        <v>106</v>
      </c>
      <c r="E128" t="s">
        <v>30</v>
      </c>
      <c r="F128" s="31">
        <v>1000</v>
      </c>
    </row>
    <row r="129" spans="1:6" hidden="1" x14ac:dyDescent="0.3">
      <c r="A129" t="s">
        <v>107</v>
      </c>
      <c r="E129" t="s">
        <v>30</v>
      </c>
      <c r="F129">
        <v>548</v>
      </c>
    </row>
    <row r="130" spans="1:6" hidden="1" x14ac:dyDescent="0.3">
      <c r="A130" t="s">
        <v>108</v>
      </c>
      <c r="E130" t="s">
        <v>30</v>
      </c>
      <c r="F130">
        <v>700</v>
      </c>
    </row>
    <row r="131" spans="1:6" hidden="1" x14ac:dyDescent="0.3">
      <c r="A131" t="s">
        <v>109</v>
      </c>
      <c r="E131" t="s">
        <v>30</v>
      </c>
      <c r="F131">
        <v>728</v>
      </c>
    </row>
    <row r="132" spans="1:6" hidden="1" x14ac:dyDescent="0.3">
      <c r="A132" t="s">
        <v>132</v>
      </c>
      <c r="E132" t="s">
        <v>30</v>
      </c>
      <c r="F132">
        <v>133</v>
      </c>
    </row>
    <row r="133" spans="1:6" hidden="1" x14ac:dyDescent="0.3">
      <c r="A133" t="s">
        <v>133</v>
      </c>
      <c r="E133" t="s">
        <v>30</v>
      </c>
      <c r="F133">
        <v>133</v>
      </c>
    </row>
    <row r="134" spans="1:6" hidden="1" x14ac:dyDescent="0.3">
      <c r="A134" t="s">
        <v>110</v>
      </c>
      <c r="E134" t="s">
        <v>30</v>
      </c>
      <c r="F134">
        <v>300</v>
      </c>
    </row>
    <row r="135" spans="1:6" hidden="1" x14ac:dyDescent="0.3">
      <c r="A135" t="s">
        <v>111</v>
      </c>
      <c r="E135" t="s">
        <v>30</v>
      </c>
      <c r="F135">
        <v>300</v>
      </c>
    </row>
    <row r="136" spans="1:6" hidden="1" x14ac:dyDescent="0.3">
      <c r="A136" t="s">
        <v>112</v>
      </c>
      <c r="E136" t="s">
        <v>30</v>
      </c>
      <c r="F136">
        <v>300</v>
      </c>
    </row>
    <row r="137" spans="1:6" hidden="1" x14ac:dyDescent="0.3">
      <c r="A137" t="s">
        <v>113</v>
      </c>
      <c r="E137" t="s">
        <v>30</v>
      </c>
      <c r="F137">
        <v>300</v>
      </c>
    </row>
    <row r="138" spans="1:6" hidden="1" x14ac:dyDescent="0.3">
      <c r="A138" t="s">
        <v>114</v>
      </c>
      <c r="E138" t="s">
        <v>30</v>
      </c>
      <c r="F138">
        <v>1500</v>
      </c>
    </row>
    <row r="139" spans="1:6" hidden="1" x14ac:dyDescent="0.3">
      <c r="A139" t="s">
        <v>116</v>
      </c>
      <c r="B139" t="s">
        <v>117</v>
      </c>
      <c r="E139" t="s">
        <v>30</v>
      </c>
      <c r="F139">
        <v>442</v>
      </c>
    </row>
    <row r="140" spans="1:6" hidden="1" x14ac:dyDescent="0.3">
      <c r="A140" t="s">
        <v>118</v>
      </c>
      <c r="B140" t="s">
        <v>117</v>
      </c>
      <c r="E140" t="s">
        <v>30</v>
      </c>
      <c r="F140">
        <v>184</v>
      </c>
    </row>
    <row r="141" spans="1:6" hidden="1" x14ac:dyDescent="0.3">
      <c r="A141" t="s">
        <v>119</v>
      </c>
      <c r="B141" t="s">
        <v>117</v>
      </c>
      <c r="E141" t="s">
        <v>30</v>
      </c>
      <c r="F141">
        <v>414</v>
      </c>
    </row>
    <row r="142" spans="1:6" hidden="1" x14ac:dyDescent="0.3">
      <c r="A142" t="s">
        <v>120</v>
      </c>
      <c r="B142" t="s">
        <v>117</v>
      </c>
      <c r="E142" t="s">
        <v>30</v>
      </c>
      <c r="F142">
        <v>414</v>
      </c>
    </row>
    <row r="143" spans="1:6" hidden="1" x14ac:dyDescent="0.3">
      <c r="A143" t="s">
        <v>121</v>
      </c>
      <c r="B143" t="s">
        <v>117</v>
      </c>
      <c r="E143" t="s">
        <v>30</v>
      </c>
      <c r="F143">
        <v>639</v>
      </c>
    </row>
    <row r="144" spans="1:6" hidden="1" x14ac:dyDescent="0.3">
      <c r="A144" t="s">
        <v>116</v>
      </c>
      <c r="B144" t="s">
        <v>117</v>
      </c>
      <c r="E144" t="s">
        <v>35</v>
      </c>
      <c r="F144">
        <v>50</v>
      </c>
    </row>
    <row r="145" spans="1:6" hidden="1" x14ac:dyDescent="0.3">
      <c r="A145" t="s">
        <v>118</v>
      </c>
      <c r="B145" t="s">
        <v>117</v>
      </c>
      <c r="E145" t="s">
        <v>35</v>
      </c>
      <c r="F145">
        <v>50</v>
      </c>
    </row>
    <row r="146" spans="1:6" hidden="1" x14ac:dyDescent="0.3">
      <c r="A146" t="s">
        <v>119</v>
      </c>
      <c r="B146" t="s">
        <v>117</v>
      </c>
      <c r="E146" t="s">
        <v>35</v>
      </c>
      <c r="F146">
        <v>50</v>
      </c>
    </row>
    <row r="147" spans="1:6" hidden="1" x14ac:dyDescent="0.3">
      <c r="A147" t="s">
        <v>120</v>
      </c>
      <c r="B147" t="s">
        <v>117</v>
      </c>
      <c r="E147" t="s">
        <v>35</v>
      </c>
      <c r="F147">
        <v>50</v>
      </c>
    </row>
    <row r="148" spans="1:6" hidden="1" x14ac:dyDescent="0.3">
      <c r="A148" t="s">
        <v>121</v>
      </c>
      <c r="B148" t="s">
        <v>117</v>
      </c>
      <c r="E148" t="s">
        <v>35</v>
      </c>
      <c r="F148">
        <v>50</v>
      </c>
    </row>
    <row r="149" spans="1:6" hidden="1" x14ac:dyDescent="0.3">
      <c r="A149" t="s">
        <v>27</v>
      </c>
      <c r="E149" t="s">
        <v>61</v>
      </c>
      <c r="F149" t="s">
        <v>9</v>
      </c>
    </row>
    <row r="150" spans="1:6" hidden="1" x14ac:dyDescent="0.3">
      <c r="A150" t="s">
        <v>28</v>
      </c>
      <c r="E150" t="s">
        <v>61</v>
      </c>
      <c r="F150" t="s">
        <v>9</v>
      </c>
    </row>
    <row r="151" spans="1:6" hidden="1" x14ac:dyDescent="0.3">
      <c r="A151" t="s">
        <v>57</v>
      </c>
      <c r="B151" t="s">
        <v>99</v>
      </c>
      <c r="E151" t="s">
        <v>61</v>
      </c>
      <c r="F151" t="s">
        <v>56</v>
      </c>
    </row>
    <row r="152" spans="1:6" hidden="1" x14ac:dyDescent="0.3">
      <c r="A152" t="s">
        <v>116</v>
      </c>
      <c r="E152" t="s">
        <v>61</v>
      </c>
      <c r="F152" t="s">
        <v>12</v>
      </c>
    </row>
    <row r="153" spans="1:6" hidden="1" x14ac:dyDescent="0.3">
      <c r="A153" t="s">
        <v>118</v>
      </c>
      <c r="E153" t="s">
        <v>61</v>
      </c>
      <c r="F153" t="s">
        <v>17</v>
      </c>
    </row>
    <row r="154" spans="1:6" hidden="1" x14ac:dyDescent="0.3">
      <c r="A154" t="s">
        <v>119</v>
      </c>
      <c r="E154" t="s">
        <v>61</v>
      </c>
      <c r="F154" t="s">
        <v>12</v>
      </c>
    </row>
    <row r="155" spans="1:6" hidden="1" x14ac:dyDescent="0.3">
      <c r="A155" t="s">
        <v>120</v>
      </c>
      <c r="B155" t="s">
        <v>117</v>
      </c>
      <c r="E155" t="s">
        <v>61</v>
      </c>
      <c r="F155" t="s">
        <v>12</v>
      </c>
    </row>
    <row r="156" spans="1:6" hidden="1" x14ac:dyDescent="0.3">
      <c r="A156" t="s">
        <v>121</v>
      </c>
      <c r="E156" t="s">
        <v>61</v>
      </c>
      <c r="F156" t="s">
        <v>12</v>
      </c>
    </row>
    <row r="157" spans="1:6" hidden="1" x14ac:dyDescent="0.3">
      <c r="A157" t="s">
        <v>28</v>
      </c>
      <c r="E157" t="s">
        <v>32</v>
      </c>
      <c r="F157">
        <v>30</v>
      </c>
    </row>
    <row r="158" spans="1:6" hidden="1" x14ac:dyDescent="0.3">
      <c r="A158" t="s">
        <v>116</v>
      </c>
      <c r="B158" t="s">
        <v>117</v>
      </c>
      <c r="E158" t="s">
        <v>32</v>
      </c>
      <c r="F158">
        <v>25</v>
      </c>
    </row>
    <row r="159" spans="1:6" hidden="1" x14ac:dyDescent="0.3">
      <c r="A159" t="s">
        <v>118</v>
      </c>
      <c r="B159" t="s">
        <v>117</v>
      </c>
      <c r="E159" t="s">
        <v>32</v>
      </c>
      <c r="F159">
        <v>25</v>
      </c>
    </row>
    <row r="160" spans="1:6" hidden="1" x14ac:dyDescent="0.3">
      <c r="A160" t="s">
        <v>119</v>
      </c>
      <c r="B160" t="s">
        <v>117</v>
      </c>
      <c r="E160" t="s">
        <v>32</v>
      </c>
      <c r="F160">
        <v>25</v>
      </c>
    </row>
    <row r="161" spans="1:6" hidden="1" x14ac:dyDescent="0.3">
      <c r="A161" t="s">
        <v>120</v>
      </c>
      <c r="B161" t="s">
        <v>117</v>
      </c>
      <c r="E161" t="s">
        <v>32</v>
      </c>
      <c r="F161">
        <v>25</v>
      </c>
    </row>
    <row r="162" spans="1:6" hidden="1" x14ac:dyDescent="0.3">
      <c r="A162" t="s">
        <v>121</v>
      </c>
      <c r="B162" t="s">
        <v>117</v>
      </c>
      <c r="E162" t="s">
        <v>32</v>
      </c>
      <c r="F162">
        <v>25</v>
      </c>
    </row>
    <row r="163" spans="1:6" hidden="1" x14ac:dyDescent="0.3">
      <c r="A163" t="s">
        <v>119</v>
      </c>
      <c r="B163" t="s">
        <v>117</v>
      </c>
      <c r="D163">
        <v>2015</v>
      </c>
      <c r="E163" t="s">
        <v>63</v>
      </c>
      <c r="F163" s="10">
        <v>0</v>
      </c>
    </row>
    <row r="164" spans="1:6" hidden="1" x14ac:dyDescent="0.3">
      <c r="A164" t="s">
        <v>116</v>
      </c>
      <c r="B164" t="s">
        <v>117</v>
      </c>
      <c r="D164">
        <v>2015</v>
      </c>
      <c r="E164" t="s">
        <v>63</v>
      </c>
      <c r="F164" s="10">
        <v>0</v>
      </c>
    </row>
    <row r="165" spans="1:6" hidden="1" x14ac:dyDescent="0.3">
      <c r="A165" t="s">
        <v>121</v>
      </c>
      <c r="B165" t="s">
        <v>117</v>
      </c>
      <c r="D165">
        <v>2015</v>
      </c>
      <c r="E165" t="s">
        <v>63</v>
      </c>
      <c r="F165" s="10">
        <v>0</v>
      </c>
    </row>
    <row r="166" spans="1:6" hidden="1" x14ac:dyDescent="0.3">
      <c r="A166" t="s">
        <v>118</v>
      </c>
      <c r="B166" t="s">
        <v>117</v>
      </c>
      <c r="D166">
        <v>2015</v>
      </c>
      <c r="E166" t="s">
        <v>63</v>
      </c>
      <c r="F166" s="10">
        <v>0</v>
      </c>
    </row>
    <row r="167" spans="1:6" hidden="1" x14ac:dyDescent="0.3">
      <c r="A167" t="s">
        <v>18</v>
      </c>
      <c r="D167">
        <v>2015</v>
      </c>
      <c r="E167" t="s">
        <v>63</v>
      </c>
      <c r="F167" s="10">
        <v>0</v>
      </c>
    </row>
    <row r="168" spans="1:6" hidden="1" x14ac:dyDescent="0.3">
      <c r="A168" t="s">
        <v>41</v>
      </c>
      <c r="D168">
        <v>2015</v>
      </c>
      <c r="E168" t="s">
        <v>63</v>
      </c>
      <c r="F168" s="10">
        <v>0</v>
      </c>
    </row>
    <row r="169" spans="1:6" hidden="1" x14ac:dyDescent="0.3">
      <c r="A169" t="s">
        <v>34</v>
      </c>
      <c r="D169">
        <v>2015</v>
      </c>
      <c r="E169" t="s">
        <v>63</v>
      </c>
      <c r="F169" s="10">
        <v>0</v>
      </c>
    </row>
    <row r="170" spans="1:6" hidden="1" x14ac:dyDescent="0.3">
      <c r="A170" t="s">
        <v>119</v>
      </c>
      <c r="B170" t="s">
        <v>117</v>
      </c>
      <c r="E170" t="s">
        <v>63</v>
      </c>
      <c r="F170" s="10">
        <v>2500000</v>
      </c>
    </row>
    <row r="171" spans="1:6" hidden="1" x14ac:dyDescent="0.3">
      <c r="A171" t="s">
        <v>116</v>
      </c>
      <c r="B171" t="s">
        <v>117</v>
      </c>
      <c r="E171" t="s">
        <v>63</v>
      </c>
      <c r="F171" s="10">
        <v>3000000</v>
      </c>
    </row>
    <row r="172" spans="1:6" hidden="1" x14ac:dyDescent="0.3">
      <c r="A172" t="s">
        <v>121</v>
      </c>
      <c r="B172" t="s">
        <v>117</v>
      </c>
      <c r="E172" t="s">
        <v>63</v>
      </c>
      <c r="F172" s="10">
        <v>1000000</v>
      </c>
    </row>
    <row r="173" spans="1:6" hidden="1" x14ac:dyDescent="0.3">
      <c r="A173" t="s">
        <v>118</v>
      </c>
      <c r="B173" t="s">
        <v>117</v>
      </c>
      <c r="E173" t="s">
        <v>63</v>
      </c>
      <c r="F173" s="10">
        <v>1500000</v>
      </c>
    </row>
    <row r="174" spans="1:6" hidden="1" x14ac:dyDescent="0.3">
      <c r="A174" t="s">
        <v>18</v>
      </c>
      <c r="E174" t="s">
        <v>63</v>
      </c>
      <c r="F174" s="10">
        <v>200000</v>
      </c>
    </row>
    <row r="175" spans="1:6" hidden="1" x14ac:dyDescent="0.3">
      <c r="A175" t="s">
        <v>41</v>
      </c>
      <c r="E175" t="s">
        <v>63</v>
      </c>
      <c r="F175" s="10">
        <v>50000</v>
      </c>
    </row>
    <row r="176" spans="1:6" hidden="1" x14ac:dyDescent="0.3">
      <c r="A176" t="s">
        <v>34</v>
      </c>
      <c r="E176" t="s">
        <v>63</v>
      </c>
      <c r="F176" s="10">
        <v>100000</v>
      </c>
    </row>
    <row r="177" spans="1:6" hidden="1" x14ac:dyDescent="0.3">
      <c r="A177" t="s">
        <v>116</v>
      </c>
      <c r="B177" t="s">
        <v>117</v>
      </c>
      <c r="E177" t="s">
        <v>128</v>
      </c>
      <c r="F177">
        <v>0.5</v>
      </c>
    </row>
    <row r="178" spans="1:6" hidden="1" x14ac:dyDescent="0.3">
      <c r="A178" t="s">
        <v>118</v>
      </c>
      <c r="B178" t="s">
        <v>117</v>
      </c>
      <c r="E178" t="s">
        <v>128</v>
      </c>
      <c r="F178">
        <v>0.5</v>
      </c>
    </row>
    <row r="179" spans="1:6" hidden="1" x14ac:dyDescent="0.3">
      <c r="A179" t="s">
        <v>119</v>
      </c>
      <c r="B179" t="s">
        <v>117</v>
      </c>
      <c r="E179" t="s">
        <v>128</v>
      </c>
      <c r="F179">
        <v>0.5</v>
      </c>
    </row>
    <row r="180" spans="1:6" hidden="1" x14ac:dyDescent="0.3">
      <c r="A180" t="s">
        <v>120</v>
      </c>
      <c r="B180" t="s">
        <v>117</v>
      </c>
      <c r="E180" t="s">
        <v>128</v>
      </c>
      <c r="F180">
        <v>0.5</v>
      </c>
    </row>
    <row r="181" spans="1:6" hidden="1" x14ac:dyDescent="0.3">
      <c r="A181" t="s">
        <v>121</v>
      </c>
      <c r="B181" t="s">
        <v>117</v>
      </c>
      <c r="E181" t="s">
        <v>128</v>
      </c>
      <c r="F181">
        <v>0.5</v>
      </c>
    </row>
    <row r="182" spans="1:6" hidden="1" x14ac:dyDescent="0.3">
      <c r="A182" t="s">
        <v>119</v>
      </c>
      <c r="B182" t="s">
        <v>117</v>
      </c>
      <c r="C182" t="s">
        <v>24</v>
      </c>
      <c r="D182">
        <v>2027</v>
      </c>
      <c r="E182" t="s">
        <v>129</v>
      </c>
      <c r="F182" s="10">
        <v>2100000</v>
      </c>
    </row>
    <row r="183" spans="1:6" hidden="1" x14ac:dyDescent="0.3">
      <c r="A183" t="s">
        <v>119</v>
      </c>
      <c r="B183" t="s">
        <v>117</v>
      </c>
      <c r="C183" t="s">
        <v>24</v>
      </c>
      <c r="D183">
        <v>2028</v>
      </c>
      <c r="E183" t="s">
        <v>129</v>
      </c>
      <c r="F183" s="10">
        <v>2100000</v>
      </c>
    </row>
    <row r="184" spans="1:6" hidden="1" x14ac:dyDescent="0.3">
      <c r="A184" t="s">
        <v>119</v>
      </c>
      <c r="B184" t="s">
        <v>117</v>
      </c>
      <c r="C184" t="s">
        <v>24</v>
      </c>
      <c r="D184">
        <v>2029</v>
      </c>
      <c r="E184" t="s">
        <v>129</v>
      </c>
      <c r="F184" s="10">
        <v>2100000</v>
      </c>
    </row>
    <row r="185" spans="1:6" hidden="1" x14ac:dyDescent="0.3">
      <c r="A185" t="s">
        <v>119</v>
      </c>
      <c r="B185" t="s">
        <v>117</v>
      </c>
      <c r="C185" t="s">
        <v>24</v>
      </c>
      <c r="D185">
        <v>2030</v>
      </c>
      <c r="E185" t="s">
        <v>129</v>
      </c>
      <c r="F185" s="10">
        <v>2100000</v>
      </c>
    </row>
    <row r="186" spans="1:6" hidden="1" x14ac:dyDescent="0.3">
      <c r="A186" t="s">
        <v>116</v>
      </c>
      <c r="B186" t="s">
        <v>117</v>
      </c>
      <c r="D186">
        <v>2015</v>
      </c>
      <c r="E186" t="s">
        <v>130</v>
      </c>
      <c r="F186">
        <v>10</v>
      </c>
    </row>
    <row r="187" spans="1:6" hidden="1" x14ac:dyDescent="0.3">
      <c r="A187" t="s">
        <v>118</v>
      </c>
      <c r="B187" t="s">
        <v>117</v>
      </c>
      <c r="D187">
        <v>2015</v>
      </c>
      <c r="E187" t="s">
        <v>130</v>
      </c>
      <c r="F187">
        <v>10</v>
      </c>
    </row>
    <row r="188" spans="1:6" hidden="1" x14ac:dyDescent="0.3">
      <c r="A188" t="s">
        <v>100</v>
      </c>
      <c r="B188" t="s">
        <v>99</v>
      </c>
      <c r="D188">
        <v>2015</v>
      </c>
      <c r="E188" t="s">
        <v>63</v>
      </c>
      <c r="F188" s="10">
        <v>0</v>
      </c>
    </row>
    <row r="189" spans="1:6" hidden="1" x14ac:dyDescent="0.3">
      <c r="A189" t="s">
        <v>101</v>
      </c>
      <c r="B189" t="s">
        <v>99</v>
      </c>
      <c r="D189">
        <v>2015</v>
      </c>
      <c r="E189" t="s">
        <v>63</v>
      </c>
      <c r="F189" s="10">
        <v>0</v>
      </c>
    </row>
    <row r="190" spans="1:6" hidden="1" x14ac:dyDescent="0.3">
      <c r="A190" t="s">
        <v>102</v>
      </c>
      <c r="B190" t="s">
        <v>99</v>
      </c>
      <c r="D190">
        <v>2015</v>
      </c>
      <c r="E190" t="s">
        <v>63</v>
      </c>
      <c r="F190" s="10">
        <v>0</v>
      </c>
    </row>
    <row r="191" spans="1:6" hidden="1" x14ac:dyDescent="0.3">
      <c r="A191" t="s">
        <v>105</v>
      </c>
      <c r="B191" t="s">
        <v>99</v>
      </c>
      <c r="D191">
        <v>2015</v>
      </c>
      <c r="E191" t="s">
        <v>63</v>
      </c>
      <c r="F191" s="10">
        <v>0</v>
      </c>
    </row>
    <row r="192" spans="1:6" hidden="1" x14ac:dyDescent="0.3">
      <c r="A192" t="s">
        <v>106</v>
      </c>
      <c r="B192" t="s">
        <v>99</v>
      </c>
      <c r="D192">
        <v>2015</v>
      </c>
      <c r="E192" t="s">
        <v>63</v>
      </c>
      <c r="F192" s="10">
        <v>0</v>
      </c>
    </row>
    <row r="193" spans="1:6" hidden="1" x14ac:dyDescent="0.3">
      <c r="A193" t="s">
        <v>107</v>
      </c>
      <c r="B193" t="s">
        <v>99</v>
      </c>
      <c r="D193">
        <v>2015</v>
      </c>
      <c r="E193" t="s">
        <v>63</v>
      </c>
      <c r="F193" s="10">
        <v>0</v>
      </c>
    </row>
    <row r="194" spans="1:6" hidden="1" x14ac:dyDescent="0.3">
      <c r="A194" t="s">
        <v>108</v>
      </c>
      <c r="B194" t="s">
        <v>99</v>
      </c>
      <c r="D194">
        <v>2015</v>
      </c>
      <c r="E194" t="s">
        <v>63</v>
      </c>
      <c r="F194" s="10">
        <v>0</v>
      </c>
    </row>
    <row r="195" spans="1:6" hidden="1" x14ac:dyDescent="0.3">
      <c r="A195" t="s">
        <v>109</v>
      </c>
      <c r="B195" t="s">
        <v>99</v>
      </c>
      <c r="D195">
        <v>2015</v>
      </c>
      <c r="E195" t="s">
        <v>63</v>
      </c>
      <c r="F195" s="10">
        <v>0</v>
      </c>
    </row>
    <row r="196" spans="1:6" hidden="1" x14ac:dyDescent="0.3">
      <c r="A196" t="s">
        <v>132</v>
      </c>
      <c r="B196" t="s">
        <v>99</v>
      </c>
      <c r="D196">
        <v>2015</v>
      </c>
      <c r="E196" t="s">
        <v>63</v>
      </c>
      <c r="F196" s="10">
        <v>0</v>
      </c>
    </row>
    <row r="197" spans="1:6" hidden="1" x14ac:dyDescent="0.3">
      <c r="A197" t="s">
        <v>133</v>
      </c>
      <c r="B197" t="s">
        <v>99</v>
      </c>
      <c r="D197">
        <v>2015</v>
      </c>
      <c r="E197" t="s">
        <v>63</v>
      </c>
      <c r="F197" s="10">
        <v>0</v>
      </c>
    </row>
    <row r="198" spans="1:6" hidden="1" x14ac:dyDescent="0.3">
      <c r="A198" t="s">
        <v>110</v>
      </c>
      <c r="B198" t="s">
        <v>99</v>
      </c>
      <c r="D198">
        <v>2015</v>
      </c>
      <c r="E198" t="s">
        <v>63</v>
      </c>
      <c r="F198" s="10">
        <v>0</v>
      </c>
    </row>
    <row r="199" spans="1:6" hidden="1" x14ac:dyDescent="0.3">
      <c r="A199" t="s">
        <v>111</v>
      </c>
      <c r="B199" t="s">
        <v>99</v>
      </c>
      <c r="D199">
        <v>2015</v>
      </c>
      <c r="E199" t="s">
        <v>63</v>
      </c>
      <c r="F199" s="10">
        <v>0</v>
      </c>
    </row>
    <row r="200" spans="1:6" hidden="1" x14ac:dyDescent="0.3">
      <c r="A200" t="s">
        <v>112</v>
      </c>
      <c r="B200" t="s">
        <v>99</v>
      </c>
      <c r="D200">
        <v>2015</v>
      </c>
      <c r="E200" t="s">
        <v>63</v>
      </c>
      <c r="F200" s="10">
        <v>0</v>
      </c>
    </row>
    <row r="201" spans="1:6" hidden="1" x14ac:dyDescent="0.3">
      <c r="A201" t="s">
        <v>113</v>
      </c>
      <c r="B201" t="s">
        <v>99</v>
      </c>
      <c r="D201">
        <v>2015</v>
      </c>
      <c r="E201" t="s">
        <v>63</v>
      </c>
      <c r="F201" s="10">
        <v>0</v>
      </c>
    </row>
    <row r="202" spans="1:6" hidden="1" x14ac:dyDescent="0.3">
      <c r="A202" t="s">
        <v>114</v>
      </c>
      <c r="B202" t="s">
        <v>99</v>
      </c>
      <c r="D202">
        <v>2015</v>
      </c>
      <c r="E202" t="s">
        <v>63</v>
      </c>
      <c r="F202" s="10">
        <v>0</v>
      </c>
    </row>
    <row r="203" spans="1:6" hidden="1" x14ac:dyDescent="0.3">
      <c r="A203" t="s">
        <v>100</v>
      </c>
      <c r="B203" t="s">
        <v>99</v>
      </c>
      <c r="E203" t="s">
        <v>63</v>
      </c>
      <c r="F203" s="10">
        <v>1000000</v>
      </c>
    </row>
    <row r="204" spans="1:6" hidden="1" x14ac:dyDescent="0.3">
      <c r="A204" t="s">
        <v>101</v>
      </c>
      <c r="B204" t="s">
        <v>99</v>
      </c>
      <c r="E204" t="s">
        <v>63</v>
      </c>
      <c r="F204" s="10">
        <v>1000000</v>
      </c>
    </row>
    <row r="205" spans="1:6" hidden="1" x14ac:dyDescent="0.3">
      <c r="A205" t="s">
        <v>102</v>
      </c>
      <c r="B205" t="s">
        <v>99</v>
      </c>
      <c r="E205" t="s">
        <v>63</v>
      </c>
      <c r="F205" s="10">
        <v>500000</v>
      </c>
    </row>
    <row r="206" spans="1:6" hidden="1" x14ac:dyDescent="0.3">
      <c r="A206" t="s">
        <v>105</v>
      </c>
      <c r="B206" t="s">
        <v>99</v>
      </c>
      <c r="E206" t="s">
        <v>63</v>
      </c>
      <c r="F206" s="10">
        <v>500000</v>
      </c>
    </row>
    <row r="207" spans="1:6" hidden="1" x14ac:dyDescent="0.3">
      <c r="A207" t="s">
        <v>106</v>
      </c>
      <c r="B207" t="s">
        <v>99</v>
      </c>
      <c r="E207" t="s">
        <v>63</v>
      </c>
      <c r="F207" s="10">
        <v>250000</v>
      </c>
    </row>
    <row r="208" spans="1:6" hidden="1" x14ac:dyDescent="0.3">
      <c r="A208" t="s">
        <v>107</v>
      </c>
      <c r="B208" t="s">
        <v>99</v>
      </c>
      <c r="E208" t="s">
        <v>63</v>
      </c>
      <c r="F208" s="10">
        <v>250000</v>
      </c>
    </row>
    <row r="209" spans="1:6" hidden="1" x14ac:dyDescent="0.3">
      <c r="A209" t="s">
        <v>108</v>
      </c>
      <c r="B209" t="s">
        <v>99</v>
      </c>
      <c r="E209" t="s">
        <v>63</v>
      </c>
      <c r="F209" s="10">
        <v>250000</v>
      </c>
    </row>
    <row r="210" spans="1:6" hidden="1" x14ac:dyDescent="0.3">
      <c r="A210" t="s">
        <v>109</v>
      </c>
      <c r="B210" t="s">
        <v>99</v>
      </c>
      <c r="E210" t="s">
        <v>63</v>
      </c>
      <c r="F210" s="10">
        <v>250000</v>
      </c>
    </row>
    <row r="211" spans="1:6" hidden="1" x14ac:dyDescent="0.3">
      <c r="A211" t="s">
        <v>132</v>
      </c>
      <c r="B211" t="s">
        <v>99</v>
      </c>
      <c r="E211" t="s">
        <v>63</v>
      </c>
      <c r="F211" s="10">
        <v>1000000</v>
      </c>
    </row>
    <row r="212" spans="1:6" hidden="1" x14ac:dyDescent="0.3">
      <c r="A212" t="s">
        <v>133</v>
      </c>
      <c r="B212" t="s">
        <v>99</v>
      </c>
      <c r="E212" t="s">
        <v>63</v>
      </c>
      <c r="F212" s="10">
        <v>1000000</v>
      </c>
    </row>
    <row r="213" spans="1:6" hidden="1" x14ac:dyDescent="0.3">
      <c r="A213" t="s">
        <v>110</v>
      </c>
      <c r="B213" t="s">
        <v>99</v>
      </c>
      <c r="E213" t="s">
        <v>63</v>
      </c>
      <c r="F213" s="10">
        <v>1000000</v>
      </c>
    </row>
    <row r="214" spans="1:6" hidden="1" x14ac:dyDescent="0.3">
      <c r="A214" t="s">
        <v>111</v>
      </c>
      <c r="B214" t="s">
        <v>99</v>
      </c>
      <c r="E214" t="s">
        <v>63</v>
      </c>
      <c r="F214" s="10">
        <v>1000000</v>
      </c>
    </row>
    <row r="215" spans="1:6" hidden="1" x14ac:dyDescent="0.3">
      <c r="A215" t="s">
        <v>112</v>
      </c>
      <c r="B215" t="s">
        <v>99</v>
      </c>
      <c r="E215" t="s">
        <v>63</v>
      </c>
      <c r="F215" s="10">
        <v>1000000</v>
      </c>
    </row>
    <row r="216" spans="1:6" hidden="1" x14ac:dyDescent="0.3">
      <c r="A216" t="s">
        <v>113</v>
      </c>
      <c r="B216" t="s">
        <v>99</v>
      </c>
      <c r="E216" t="s">
        <v>63</v>
      </c>
      <c r="F216" s="10">
        <v>1000000</v>
      </c>
    </row>
    <row r="217" spans="1:6" hidden="1" x14ac:dyDescent="0.3">
      <c r="A217" t="s">
        <v>114</v>
      </c>
      <c r="B217" t="s">
        <v>99</v>
      </c>
      <c r="E217" t="s">
        <v>63</v>
      </c>
      <c r="F217" s="10">
        <v>1000000</v>
      </c>
    </row>
    <row r="218" spans="1:6" hidden="1" x14ac:dyDescent="0.3">
      <c r="A218" t="s">
        <v>98</v>
      </c>
      <c r="B218" t="s">
        <v>99</v>
      </c>
      <c r="E218" t="s">
        <v>61</v>
      </c>
      <c r="F218" s="10" t="s">
        <v>56</v>
      </c>
    </row>
    <row r="219" spans="1:6" hidden="1" x14ac:dyDescent="0.3">
      <c r="A219" t="s">
        <v>100</v>
      </c>
      <c r="B219" t="s">
        <v>99</v>
      </c>
      <c r="E219" t="s">
        <v>61</v>
      </c>
      <c r="F219" t="s">
        <v>54</v>
      </c>
    </row>
    <row r="220" spans="1:6" hidden="1" x14ac:dyDescent="0.3">
      <c r="A220" t="s">
        <v>101</v>
      </c>
      <c r="B220" t="s">
        <v>99</v>
      </c>
      <c r="E220" t="s">
        <v>61</v>
      </c>
      <c r="F220" t="s">
        <v>54</v>
      </c>
    </row>
    <row r="221" spans="1:6" hidden="1" x14ac:dyDescent="0.3">
      <c r="A221" t="s">
        <v>102</v>
      </c>
      <c r="B221" t="s">
        <v>99</v>
      </c>
      <c r="E221" t="s">
        <v>61</v>
      </c>
      <c r="F221" t="s">
        <v>54</v>
      </c>
    </row>
    <row r="222" spans="1:6" hidden="1" x14ac:dyDescent="0.3">
      <c r="A222" t="s">
        <v>105</v>
      </c>
      <c r="B222" t="s">
        <v>99</v>
      </c>
      <c r="E222" t="s">
        <v>61</v>
      </c>
      <c r="F222" t="s">
        <v>54</v>
      </c>
    </row>
    <row r="223" spans="1:6" hidden="1" x14ac:dyDescent="0.3">
      <c r="A223" t="s">
        <v>106</v>
      </c>
      <c r="E223" t="s">
        <v>61</v>
      </c>
      <c r="F223" t="s">
        <v>53</v>
      </c>
    </row>
    <row r="224" spans="1:6" hidden="1" x14ac:dyDescent="0.3">
      <c r="A224" t="s">
        <v>107</v>
      </c>
      <c r="E224" t="s">
        <v>61</v>
      </c>
      <c r="F224" t="s">
        <v>53</v>
      </c>
    </row>
    <row r="225" spans="1:6" hidden="1" x14ac:dyDescent="0.3">
      <c r="A225" t="s">
        <v>108</v>
      </c>
      <c r="E225" t="s">
        <v>61</v>
      </c>
      <c r="F225" t="s">
        <v>53</v>
      </c>
    </row>
    <row r="226" spans="1:6" hidden="1" x14ac:dyDescent="0.3">
      <c r="A226" t="s">
        <v>109</v>
      </c>
      <c r="E226" t="s">
        <v>61</v>
      </c>
      <c r="F226" t="s">
        <v>53</v>
      </c>
    </row>
    <row r="227" spans="1:6" hidden="1" x14ac:dyDescent="0.3">
      <c r="A227" t="s">
        <v>132</v>
      </c>
      <c r="E227" t="s">
        <v>61</v>
      </c>
      <c r="F227" t="s">
        <v>26</v>
      </c>
    </row>
    <row r="228" spans="1:6" hidden="1" x14ac:dyDescent="0.3">
      <c r="A228" t="s">
        <v>133</v>
      </c>
      <c r="E228" t="s">
        <v>61</v>
      </c>
      <c r="F228" t="s">
        <v>26</v>
      </c>
    </row>
    <row r="229" spans="1:6" hidden="1" x14ac:dyDescent="0.3">
      <c r="A229" t="s">
        <v>134</v>
      </c>
      <c r="E229" t="s">
        <v>61</v>
      </c>
      <c r="F229" t="s">
        <v>26</v>
      </c>
    </row>
    <row r="230" spans="1:6" hidden="1" x14ac:dyDescent="0.3">
      <c r="A230" t="s">
        <v>111</v>
      </c>
      <c r="E230" t="s">
        <v>61</v>
      </c>
      <c r="F230" t="s">
        <v>26</v>
      </c>
    </row>
    <row r="231" spans="1:6" hidden="1" x14ac:dyDescent="0.3">
      <c r="A231" t="s">
        <v>112</v>
      </c>
      <c r="E231" t="s">
        <v>61</v>
      </c>
      <c r="F231" t="s">
        <v>26</v>
      </c>
    </row>
    <row r="232" spans="1:6" hidden="1" x14ac:dyDescent="0.3">
      <c r="A232" t="s">
        <v>113</v>
      </c>
      <c r="E232" t="s">
        <v>61</v>
      </c>
      <c r="F232" t="s">
        <v>26</v>
      </c>
    </row>
    <row r="233" spans="1:6" hidden="1" x14ac:dyDescent="0.3">
      <c r="A233" t="s">
        <v>114</v>
      </c>
      <c r="E233" t="s">
        <v>61</v>
      </c>
      <c r="F233" t="s">
        <v>26</v>
      </c>
    </row>
    <row r="234" spans="1:6" hidden="1" x14ac:dyDescent="0.3">
      <c r="A234" t="s">
        <v>98</v>
      </c>
      <c r="B234" t="s">
        <v>99</v>
      </c>
      <c r="E234" t="s">
        <v>32</v>
      </c>
      <c r="F234">
        <v>30</v>
      </c>
    </row>
    <row r="235" spans="1:6" hidden="1" x14ac:dyDescent="0.3">
      <c r="A235" t="s">
        <v>100</v>
      </c>
      <c r="B235" t="s">
        <v>99</v>
      </c>
      <c r="E235" t="s">
        <v>32</v>
      </c>
      <c r="F235">
        <v>20</v>
      </c>
    </row>
    <row r="236" spans="1:6" hidden="1" x14ac:dyDescent="0.3">
      <c r="A236" t="s">
        <v>101</v>
      </c>
      <c r="B236" t="s">
        <v>99</v>
      </c>
      <c r="E236" t="s">
        <v>32</v>
      </c>
      <c r="F236">
        <v>20</v>
      </c>
    </row>
    <row r="237" spans="1:6" hidden="1" x14ac:dyDescent="0.3">
      <c r="A237" t="s">
        <v>102</v>
      </c>
      <c r="B237" t="s">
        <v>99</v>
      </c>
      <c r="E237" t="s">
        <v>32</v>
      </c>
      <c r="F237">
        <v>20</v>
      </c>
    </row>
    <row r="238" spans="1:6" hidden="1" x14ac:dyDescent="0.3">
      <c r="A238" t="s">
        <v>105</v>
      </c>
      <c r="B238" t="s">
        <v>99</v>
      </c>
      <c r="E238" t="s">
        <v>32</v>
      </c>
      <c r="F238">
        <v>20</v>
      </c>
    </row>
    <row r="239" spans="1:6" hidden="1" x14ac:dyDescent="0.3">
      <c r="A239" t="s">
        <v>106</v>
      </c>
      <c r="E239" t="s">
        <v>32</v>
      </c>
      <c r="F239">
        <v>20</v>
      </c>
    </row>
    <row r="240" spans="1:6" hidden="1" x14ac:dyDescent="0.3">
      <c r="A240" t="s">
        <v>107</v>
      </c>
      <c r="E240" t="s">
        <v>32</v>
      </c>
      <c r="F240">
        <v>20</v>
      </c>
    </row>
    <row r="241" spans="1:6" hidden="1" x14ac:dyDescent="0.3">
      <c r="A241" t="s">
        <v>108</v>
      </c>
      <c r="E241" t="s">
        <v>32</v>
      </c>
      <c r="F241">
        <v>20</v>
      </c>
    </row>
    <row r="242" spans="1:6" hidden="1" x14ac:dyDescent="0.3">
      <c r="A242" t="s">
        <v>109</v>
      </c>
      <c r="E242" t="s">
        <v>32</v>
      </c>
      <c r="F242">
        <v>20</v>
      </c>
    </row>
    <row r="243" spans="1:6" hidden="1" x14ac:dyDescent="0.3">
      <c r="A243" t="s">
        <v>132</v>
      </c>
      <c r="E243" t="s">
        <v>32</v>
      </c>
      <c r="F243">
        <v>20</v>
      </c>
    </row>
    <row r="244" spans="1:6" hidden="1" x14ac:dyDescent="0.3">
      <c r="A244" t="s">
        <v>133</v>
      </c>
      <c r="E244" t="s">
        <v>32</v>
      </c>
      <c r="F244">
        <v>20</v>
      </c>
    </row>
    <row r="245" spans="1:6" hidden="1" x14ac:dyDescent="0.3">
      <c r="A245" t="s">
        <v>110</v>
      </c>
      <c r="E245" t="s">
        <v>32</v>
      </c>
      <c r="F245">
        <v>20</v>
      </c>
    </row>
    <row r="246" spans="1:6" hidden="1" x14ac:dyDescent="0.3">
      <c r="A246" t="s">
        <v>111</v>
      </c>
      <c r="E246" t="s">
        <v>32</v>
      </c>
      <c r="F246">
        <v>20</v>
      </c>
    </row>
    <row r="247" spans="1:6" hidden="1" x14ac:dyDescent="0.3">
      <c r="A247" t="s">
        <v>112</v>
      </c>
      <c r="E247" t="s">
        <v>32</v>
      </c>
      <c r="F247">
        <v>20</v>
      </c>
    </row>
    <row r="248" spans="1:6" hidden="1" x14ac:dyDescent="0.3">
      <c r="A248" t="s">
        <v>113</v>
      </c>
      <c r="E248" t="s">
        <v>32</v>
      </c>
      <c r="F248">
        <v>20</v>
      </c>
    </row>
    <row r="249" spans="1:6" hidden="1" x14ac:dyDescent="0.3">
      <c r="A249" t="s">
        <v>114</v>
      </c>
      <c r="E249" t="s">
        <v>32</v>
      </c>
      <c r="F249">
        <v>20</v>
      </c>
    </row>
    <row r="250" spans="1:6" hidden="1" x14ac:dyDescent="0.3">
      <c r="A250" t="s">
        <v>68</v>
      </c>
      <c r="B250" t="s">
        <v>67</v>
      </c>
      <c r="C250" t="s">
        <v>87</v>
      </c>
      <c r="E250" t="s">
        <v>63</v>
      </c>
      <c r="F250">
        <v>4200000</v>
      </c>
    </row>
    <row r="251" spans="1:6" hidden="1" x14ac:dyDescent="0.3">
      <c r="A251" t="s">
        <v>69</v>
      </c>
      <c r="B251" t="s">
        <v>67</v>
      </c>
      <c r="C251" t="s">
        <v>87</v>
      </c>
      <c r="E251" t="s">
        <v>63</v>
      </c>
      <c r="F251">
        <v>4200000</v>
      </c>
    </row>
    <row r="252" spans="1:6" hidden="1" x14ac:dyDescent="0.3">
      <c r="A252" t="s">
        <v>70</v>
      </c>
      <c r="B252" t="s">
        <v>67</v>
      </c>
      <c r="C252" t="s">
        <v>87</v>
      </c>
      <c r="E252" t="s">
        <v>63</v>
      </c>
      <c r="F252">
        <v>4200000</v>
      </c>
    </row>
    <row r="253" spans="1:6" hidden="1" x14ac:dyDescent="0.3">
      <c r="A253" t="s">
        <v>80</v>
      </c>
      <c r="B253" t="s">
        <v>67</v>
      </c>
      <c r="C253" t="s">
        <v>87</v>
      </c>
      <c r="E253" t="s">
        <v>63</v>
      </c>
      <c r="F253">
        <v>1050000</v>
      </c>
    </row>
    <row r="254" spans="1:6" hidden="1" x14ac:dyDescent="0.3">
      <c r="A254" t="s">
        <v>81</v>
      </c>
      <c r="B254" t="s">
        <v>67</v>
      </c>
      <c r="C254" t="s">
        <v>87</v>
      </c>
      <c r="E254" t="s">
        <v>63</v>
      </c>
      <c r="F254">
        <v>1050000</v>
      </c>
    </row>
    <row r="255" spans="1:6" hidden="1" x14ac:dyDescent="0.3">
      <c r="A255" t="s">
        <v>68</v>
      </c>
      <c r="B255" t="s">
        <v>67</v>
      </c>
      <c r="C255" t="s">
        <v>88</v>
      </c>
      <c r="E255" t="s">
        <v>63</v>
      </c>
      <c r="F255">
        <v>2200000</v>
      </c>
    </row>
    <row r="256" spans="1:6" hidden="1" x14ac:dyDescent="0.3">
      <c r="A256" t="s">
        <v>69</v>
      </c>
      <c r="B256" t="s">
        <v>67</v>
      </c>
      <c r="C256" t="s">
        <v>88</v>
      </c>
      <c r="E256" t="s">
        <v>63</v>
      </c>
      <c r="F256">
        <v>2200000</v>
      </c>
    </row>
    <row r="257" spans="1:6" hidden="1" x14ac:dyDescent="0.3">
      <c r="A257" t="s">
        <v>70</v>
      </c>
      <c r="B257" t="s">
        <v>67</v>
      </c>
      <c r="C257" t="s">
        <v>88</v>
      </c>
      <c r="E257" t="s">
        <v>63</v>
      </c>
      <c r="F257">
        <v>2200000</v>
      </c>
    </row>
    <row r="258" spans="1:6" hidden="1" x14ac:dyDescent="0.3">
      <c r="A258" t="s">
        <v>80</v>
      </c>
      <c r="B258" t="s">
        <v>67</v>
      </c>
      <c r="C258" t="s">
        <v>88</v>
      </c>
      <c r="E258" t="s">
        <v>63</v>
      </c>
      <c r="F258">
        <v>550000</v>
      </c>
    </row>
    <row r="259" spans="1:6" hidden="1" x14ac:dyDescent="0.3">
      <c r="A259" t="s">
        <v>81</v>
      </c>
      <c r="B259" t="s">
        <v>67</v>
      </c>
      <c r="C259" t="s">
        <v>88</v>
      </c>
      <c r="E259" t="s">
        <v>63</v>
      </c>
      <c r="F259">
        <v>550000</v>
      </c>
    </row>
    <row r="260" spans="1:6" hidden="1" x14ac:dyDescent="0.3">
      <c r="A260" t="s">
        <v>68</v>
      </c>
      <c r="B260" t="s">
        <v>67</v>
      </c>
      <c r="C260" t="s">
        <v>89</v>
      </c>
      <c r="E260" t="s">
        <v>63</v>
      </c>
      <c r="F260">
        <v>3000000</v>
      </c>
    </row>
    <row r="261" spans="1:6" hidden="1" x14ac:dyDescent="0.3">
      <c r="A261" t="s">
        <v>69</v>
      </c>
      <c r="B261" t="s">
        <v>67</v>
      </c>
      <c r="C261" t="s">
        <v>89</v>
      </c>
      <c r="E261" t="s">
        <v>63</v>
      </c>
      <c r="F261">
        <v>3000000</v>
      </c>
    </row>
    <row r="262" spans="1:6" hidden="1" x14ac:dyDescent="0.3">
      <c r="A262" t="s">
        <v>70</v>
      </c>
      <c r="B262" t="s">
        <v>67</v>
      </c>
      <c r="C262" t="s">
        <v>89</v>
      </c>
      <c r="E262" t="s">
        <v>63</v>
      </c>
      <c r="F262">
        <v>3000000</v>
      </c>
    </row>
    <row r="263" spans="1:6" hidden="1" x14ac:dyDescent="0.3">
      <c r="A263" t="s">
        <v>80</v>
      </c>
      <c r="B263" t="s">
        <v>67</v>
      </c>
      <c r="C263" t="s">
        <v>89</v>
      </c>
      <c r="E263" t="s">
        <v>63</v>
      </c>
      <c r="F263">
        <v>750000</v>
      </c>
    </row>
    <row r="264" spans="1:6" hidden="1" x14ac:dyDescent="0.3">
      <c r="A264" t="s">
        <v>81</v>
      </c>
      <c r="B264" t="s">
        <v>67</v>
      </c>
      <c r="C264" t="s">
        <v>89</v>
      </c>
      <c r="E264" t="s">
        <v>63</v>
      </c>
      <c r="F264">
        <v>750000</v>
      </c>
    </row>
    <row r="265" spans="1:6" hidden="1" x14ac:dyDescent="0.3">
      <c r="A265" t="s">
        <v>68</v>
      </c>
      <c r="B265" t="s">
        <v>67</v>
      </c>
      <c r="C265" t="s">
        <v>90</v>
      </c>
      <c r="E265" t="s">
        <v>63</v>
      </c>
      <c r="F265">
        <v>1300000</v>
      </c>
    </row>
    <row r="266" spans="1:6" hidden="1" x14ac:dyDescent="0.3">
      <c r="A266" t="s">
        <v>69</v>
      </c>
      <c r="B266" t="s">
        <v>67</v>
      </c>
      <c r="C266" t="s">
        <v>90</v>
      </c>
      <c r="E266" t="s">
        <v>63</v>
      </c>
      <c r="F266">
        <v>1300000</v>
      </c>
    </row>
    <row r="267" spans="1:6" hidden="1" x14ac:dyDescent="0.3">
      <c r="A267" t="s">
        <v>70</v>
      </c>
      <c r="B267" t="s">
        <v>67</v>
      </c>
      <c r="C267" t="s">
        <v>90</v>
      </c>
      <c r="E267" t="s">
        <v>63</v>
      </c>
      <c r="F267">
        <v>1300000</v>
      </c>
    </row>
    <row r="268" spans="1:6" hidden="1" x14ac:dyDescent="0.3">
      <c r="A268" t="s">
        <v>80</v>
      </c>
      <c r="B268" t="s">
        <v>67</v>
      </c>
      <c r="C268" t="s">
        <v>90</v>
      </c>
      <c r="E268" t="s">
        <v>63</v>
      </c>
      <c r="F268">
        <v>325000</v>
      </c>
    </row>
    <row r="269" spans="1:6" hidden="1" x14ac:dyDescent="0.3">
      <c r="A269" t="s">
        <v>81</v>
      </c>
      <c r="B269" t="s">
        <v>67</v>
      </c>
      <c r="C269" t="s">
        <v>90</v>
      </c>
      <c r="E269" t="s">
        <v>63</v>
      </c>
      <c r="F269">
        <v>325000</v>
      </c>
    </row>
    <row r="270" spans="1:6" hidden="1" x14ac:dyDescent="0.3">
      <c r="A270" t="s">
        <v>138</v>
      </c>
      <c r="B270" t="s">
        <v>67</v>
      </c>
      <c r="E270" t="s">
        <v>61</v>
      </c>
      <c r="F270" t="s">
        <v>143</v>
      </c>
    </row>
    <row r="271" spans="1:6" hidden="1" x14ac:dyDescent="0.3">
      <c r="A271" t="s">
        <v>139</v>
      </c>
      <c r="B271" t="s">
        <v>67</v>
      </c>
      <c r="E271" t="s">
        <v>61</v>
      </c>
      <c r="F271" t="s">
        <v>143</v>
      </c>
    </row>
    <row r="272" spans="1:6" hidden="1" x14ac:dyDescent="0.3">
      <c r="A272" t="s">
        <v>140</v>
      </c>
      <c r="B272" t="s">
        <v>67</v>
      </c>
      <c r="E272" t="s">
        <v>61</v>
      </c>
      <c r="F272" t="s">
        <v>143</v>
      </c>
    </row>
    <row r="273" spans="1:6" hidden="1" x14ac:dyDescent="0.3">
      <c r="A273" t="s">
        <v>141</v>
      </c>
      <c r="B273" t="s">
        <v>67</v>
      </c>
      <c r="E273" t="s">
        <v>61</v>
      </c>
      <c r="F273" t="s">
        <v>143</v>
      </c>
    </row>
    <row r="274" spans="1:6" hidden="1" x14ac:dyDescent="0.3">
      <c r="A274" t="s">
        <v>142</v>
      </c>
      <c r="B274" t="s">
        <v>67</v>
      </c>
      <c r="E274" t="s">
        <v>61</v>
      </c>
      <c r="F274" t="s">
        <v>143</v>
      </c>
    </row>
    <row r="275" spans="1:6" hidden="1" x14ac:dyDescent="0.3">
      <c r="A275" t="s">
        <v>138</v>
      </c>
      <c r="B275" t="s">
        <v>67</v>
      </c>
      <c r="E275" t="s">
        <v>32</v>
      </c>
      <c r="F275">
        <v>50</v>
      </c>
    </row>
    <row r="276" spans="1:6" hidden="1" x14ac:dyDescent="0.3">
      <c r="A276" t="s">
        <v>139</v>
      </c>
      <c r="B276" t="s">
        <v>67</v>
      </c>
      <c r="E276" t="s">
        <v>32</v>
      </c>
      <c r="F276">
        <v>50</v>
      </c>
    </row>
    <row r="277" spans="1:6" hidden="1" x14ac:dyDescent="0.3">
      <c r="A277" t="s">
        <v>140</v>
      </c>
      <c r="B277" t="s">
        <v>67</v>
      </c>
      <c r="E277" t="s">
        <v>32</v>
      </c>
      <c r="F277">
        <v>50</v>
      </c>
    </row>
    <row r="278" spans="1:6" hidden="1" x14ac:dyDescent="0.3">
      <c r="A278" t="s">
        <v>141</v>
      </c>
      <c r="B278" t="s">
        <v>67</v>
      </c>
      <c r="E278" t="s">
        <v>32</v>
      </c>
      <c r="F278">
        <v>50</v>
      </c>
    </row>
    <row r="279" spans="1:6" hidden="1" x14ac:dyDescent="0.3">
      <c r="A279" t="s">
        <v>142</v>
      </c>
      <c r="B279" t="s">
        <v>67</v>
      </c>
      <c r="E279" t="s">
        <v>32</v>
      </c>
      <c r="F279">
        <v>50</v>
      </c>
    </row>
    <row r="280" spans="1:6" hidden="1" x14ac:dyDescent="0.3">
      <c r="A280" t="s">
        <v>138</v>
      </c>
      <c r="B280" t="s">
        <v>67</v>
      </c>
      <c r="C280" t="s">
        <v>24</v>
      </c>
      <c r="D280">
        <v>2015</v>
      </c>
      <c r="E280" t="s">
        <v>63</v>
      </c>
      <c r="F280">
        <v>0</v>
      </c>
    </row>
    <row r="281" spans="1:6" hidden="1" x14ac:dyDescent="0.3">
      <c r="A281" t="s">
        <v>139</v>
      </c>
      <c r="B281" t="s">
        <v>67</v>
      </c>
      <c r="C281" t="s">
        <v>24</v>
      </c>
      <c r="D281">
        <v>2015</v>
      </c>
      <c r="E281" t="s">
        <v>63</v>
      </c>
      <c r="F281">
        <v>0</v>
      </c>
    </row>
    <row r="282" spans="1:6" hidden="1" x14ac:dyDescent="0.3">
      <c r="A282" t="s">
        <v>140</v>
      </c>
      <c r="B282" t="s">
        <v>67</v>
      </c>
      <c r="C282" t="s">
        <v>24</v>
      </c>
      <c r="D282">
        <v>2015</v>
      </c>
      <c r="E282" t="s">
        <v>63</v>
      </c>
      <c r="F282">
        <v>0</v>
      </c>
    </row>
    <row r="283" spans="1:6" hidden="1" x14ac:dyDescent="0.3">
      <c r="A283" t="s">
        <v>141</v>
      </c>
      <c r="B283" t="s">
        <v>67</v>
      </c>
      <c r="C283" t="s">
        <v>24</v>
      </c>
      <c r="D283">
        <v>2015</v>
      </c>
      <c r="E283" t="s">
        <v>63</v>
      </c>
      <c r="F283">
        <v>0</v>
      </c>
    </row>
    <row r="284" spans="1:6" hidden="1" x14ac:dyDescent="0.3">
      <c r="A284" t="s">
        <v>142</v>
      </c>
      <c r="B284" t="s">
        <v>67</v>
      </c>
      <c r="C284" t="s">
        <v>24</v>
      </c>
      <c r="D284">
        <v>2015</v>
      </c>
      <c r="E284" t="s">
        <v>63</v>
      </c>
      <c r="F284">
        <v>0</v>
      </c>
    </row>
    <row r="285" spans="1:6" hidden="1" x14ac:dyDescent="0.3">
      <c r="A285" t="s">
        <v>138</v>
      </c>
      <c r="B285" t="s">
        <v>67</v>
      </c>
      <c r="C285" t="s">
        <v>25</v>
      </c>
      <c r="D285">
        <v>2015</v>
      </c>
      <c r="E285" t="s">
        <v>63</v>
      </c>
      <c r="F285">
        <v>0</v>
      </c>
    </row>
    <row r="286" spans="1:6" hidden="1" x14ac:dyDescent="0.3">
      <c r="A286" t="s">
        <v>139</v>
      </c>
      <c r="B286" t="s">
        <v>67</v>
      </c>
      <c r="C286" t="s">
        <v>25</v>
      </c>
      <c r="D286">
        <v>2015</v>
      </c>
      <c r="E286" t="s">
        <v>63</v>
      </c>
      <c r="F286">
        <v>0</v>
      </c>
    </row>
    <row r="287" spans="1:6" hidden="1" x14ac:dyDescent="0.3">
      <c r="A287" t="s">
        <v>140</v>
      </c>
      <c r="B287" t="s">
        <v>67</v>
      </c>
      <c r="C287" t="s">
        <v>25</v>
      </c>
      <c r="D287">
        <v>2015</v>
      </c>
      <c r="E287" t="s">
        <v>63</v>
      </c>
      <c r="F287">
        <v>0</v>
      </c>
    </row>
    <row r="288" spans="1:6" hidden="1" x14ac:dyDescent="0.3">
      <c r="A288" t="s">
        <v>141</v>
      </c>
      <c r="B288" t="s">
        <v>67</v>
      </c>
      <c r="C288" t="s">
        <v>25</v>
      </c>
      <c r="D288">
        <v>2015</v>
      </c>
      <c r="E288" t="s">
        <v>63</v>
      </c>
      <c r="F288">
        <v>0</v>
      </c>
    </row>
    <row r="289" spans="1:6" hidden="1" x14ac:dyDescent="0.3">
      <c r="A289" t="s">
        <v>142</v>
      </c>
      <c r="B289" t="s">
        <v>67</v>
      </c>
      <c r="C289" t="s">
        <v>25</v>
      </c>
      <c r="D289">
        <v>2015</v>
      </c>
      <c r="E289" t="s">
        <v>63</v>
      </c>
      <c r="F289">
        <v>0</v>
      </c>
    </row>
    <row r="290" spans="1:6" hidden="1" x14ac:dyDescent="0.3">
      <c r="A290" t="s">
        <v>138</v>
      </c>
      <c r="B290" t="s">
        <v>67</v>
      </c>
      <c r="C290" t="s">
        <v>87</v>
      </c>
      <c r="D290">
        <v>2015</v>
      </c>
      <c r="E290" t="s">
        <v>63</v>
      </c>
      <c r="F290">
        <v>0</v>
      </c>
    </row>
    <row r="291" spans="1:6" hidden="1" x14ac:dyDescent="0.3">
      <c r="A291" t="s">
        <v>139</v>
      </c>
      <c r="B291" t="s">
        <v>67</v>
      </c>
      <c r="C291" t="s">
        <v>87</v>
      </c>
      <c r="D291">
        <v>2015</v>
      </c>
      <c r="E291" t="s">
        <v>63</v>
      </c>
      <c r="F291">
        <v>0</v>
      </c>
    </row>
    <row r="292" spans="1:6" hidden="1" x14ac:dyDescent="0.3">
      <c r="A292" t="s">
        <v>140</v>
      </c>
      <c r="B292" t="s">
        <v>67</v>
      </c>
      <c r="C292" t="s">
        <v>87</v>
      </c>
      <c r="D292">
        <v>2015</v>
      </c>
      <c r="E292" t="s">
        <v>63</v>
      </c>
      <c r="F292">
        <v>0</v>
      </c>
    </row>
    <row r="293" spans="1:6" hidden="1" x14ac:dyDescent="0.3">
      <c r="A293" t="s">
        <v>141</v>
      </c>
      <c r="B293" t="s">
        <v>67</v>
      </c>
      <c r="C293" t="s">
        <v>87</v>
      </c>
      <c r="D293">
        <v>2015</v>
      </c>
      <c r="E293" t="s">
        <v>63</v>
      </c>
      <c r="F293">
        <v>0</v>
      </c>
    </row>
    <row r="294" spans="1:6" hidden="1" x14ac:dyDescent="0.3">
      <c r="A294" t="s">
        <v>142</v>
      </c>
      <c r="B294" t="s">
        <v>67</v>
      </c>
      <c r="C294" t="s">
        <v>87</v>
      </c>
      <c r="D294">
        <v>2015</v>
      </c>
      <c r="E294" t="s">
        <v>63</v>
      </c>
      <c r="F294">
        <v>0</v>
      </c>
    </row>
    <row r="295" spans="1:6" hidden="1" x14ac:dyDescent="0.3">
      <c r="A295" t="s">
        <v>138</v>
      </c>
      <c r="B295" t="s">
        <v>67</v>
      </c>
      <c r="C295" t="s">
        <v>88</v>
      </c>
      <c r="D295">
        <v>2015</v>
      </c>
      <c r="E295" t="s">
        <v>63</v>
      </c>
      <c r="F295">
        <v>0</v>
      </c>
    </row>
    <row r="296" spans="1:6" hidden="1" x14ac:dyDescent="0.3">
      <c r="A296" t="s">
        <v>139</v>
      </c>
      <c r="B296" t="s">
        <v>67</v>
      </c>
      <c r="C296" t="s">
        <v>88</v>
      </c>
      <c r="D296">
        <v>2015</v>
      </c>
      <c r="E296" t="s">
        <v>63</v>
      </c>
      <c r="F296">
        <v>0</v>
      </c>
    </row>
    <row r="297" spans="1:6" hidden="1" x14ac:dyDescent="0.3">
      <c r="A297" t="s">
        <v>140</v>
      </c>
      <c r="B297" t="s">
        <v>67</v>
      </c>
      <c r="C297" t="s">
        <v>88</v>
      </c>
      <c r="D297">
        <v>2015</v>
      </c>
      <c r="E297" t="s">
        <v>63</v>
      </c>
      <c r="F297">
        <v>0</v>
      </c>
    </row>
    <row r="298" spans="1:6" hidden="1" x14ac:dyDescent="0.3">
      <c r="A298" t="s">
        <v>141</v>
      </c>
      <c r="B298" t="s">
        <v>67</v>
      </c>
      <c r="C298" t="s">
        <v>88</v>
      </c>
      <c r="D298">
        <v>2015</v>
      </c>
      <c r="E298" t="s">
        <v>63</v>
      </c>
      <c r="F298">
        <v>0</v>
      </c>
    </row>
    <row r="299" spans="1:6" hidden="1" x14ac:dyDescent="0.3">
      <c r="A299" t="s">
        <v>142</v>
      </c>
      <c r="B299" t="s">
        <v>67</v>
      </c>
      <c r="C299" t="s">
        <v>88</v>
      </c>
      <c r="D299">
        <v>2015</v>
      </c>
      <c r="E299" t="s">
        <v>63</v>
      </c>
      <c r="F299">
        <v>0</v>
      </c>
    </row>
    <row r="300" spans="1:6" hidden="1" x14ac:dyDescent="0.3">
      <c r="A300" t="s">
        <v>138</v>
      </c>
      <c r="B300" t="s">
        <v>67</v>
      </c>
      <c r="C300" t="s">
        <v>89</v>
      </c>
      <c r="D300">
        <v>2015</v>
      </c>
      <c r="E300" t="s">
        <v>63</v>
      </c>
      <c r="F300">
        <v>0</v>
      </c>
    </row>
    <row r="301" spans="1:6" hidden="1" x14ac:dyDescent="0.3">
      <c r="A301" t="s">
        <v>139</v>
      </c>
      <c r="B301" t="s">
        <v>67</v>
      </c>
      <c r="C301" t="s">
        <v>89</v>
      </c>
      <c r="D301">
        <v>2015</v>
      </c>
      <c r="E301" t="s">
        <v>63</v>
      </c>
      <c r="F301">
        <v>0</v>
      </c>
    </row>
    <row r="302" spans="1:6" hidden="1" x14ac:dyDescent="0.3">
      <c r="A302" t="s">
        <v>140</v>
      </c>
      <c r="B302" t="s">
        <v>67</v>
      </c>
      <c r="C302" t="s">
        <v>89</v>
      </c>
      <c r="D302">
        <v>2015</v>
      </c>
      <c r="E302" t="s">
        <v>63</v>
      </c>
      <c r="F302">
        <v>0</v>
      </c>
    </row>
    <row r="303" spans="1:6" hidden="1" x14ac:dyDescent="0.3">
      <c r="A303" t="s">
        <v>141</v>
      </c>
      <c r="B303" t="s">
        <v>67</v>
      </c>
      <c r="C303" t="s">
        <v>89</v>
      </c>
      <c r="D303">
        <v>2015</v>
      </c>
      <c r="E303" t="s">
        <v>63</v>
      </c>
      <c r="F303">
        <v>0</v>
      </c>
    </row>
    <row r="304" spans="1:6" hidden="1" x14ac:dyDescent="0.3">
      <c r="A304" t="s">
        <v>142</v>
      </c>
      <c r="B304" t="s">
        <v>67</v>
      </c>
      <c r="C304" t="s">
        <v>89</v>
      </c>
      <c r="D304">
        <v>2015</v>
      </c>
      <c r="E304" t="s">
        <v>63</v>
      </c>
      <c r="F304">
        <v>0</v>
      </c>
    </row>
    <row r="305" spans="1:6" hidden="1" x14ac:dyDescent="0.3">
      <c r="A305" t="s">
        <v>138</v>
      </c>
      <c r="B305" t="s">
        <v>67</v>
      </c>
      <c r="C305" t="s">
        <v>90</v>
      </c>
      <c r="D305">
        <v>2015</v>
      </c>
      <c r="E305" t="s">
        <v>63</v>
      </c>
      <c r="F305">
        <v>0</v>
      </c>
    </row>
    <row r="306" spans="1:6" hidden="1" x14ac:dyDescent="0.3">
      <c r="A306" t="s">
        <v>139</v>
      </c>
      <c r="B306" t="s">
        <v>67</v>
      </c>
      <c r="C306" t="s">
        <v>90</v>
      </c>
      <c r="D306">
        <v>2015</v>
      </c>
      <c r="E306" t="s">
        <v>63</v>
      </c>
      <c r="F306">
        <v>0</v>
      </c>
    </row>
    <row r="307" spans="1:6" hidden="1" x14ac:dyDescent="0.3">
      <c r="A307" t="s">
        <v>140</v>
      </c>
      <c r="B307" t="s">
        <v>67</v>
      </c>
      <c r="C307" t="s">
        <v>90</v>
      </c>
      <c r="D307">
        <v>2015</v>
      </c>
      <c r="E307" t="s">
        <v>63</v>
      </c>
      <c r="F307">
        <v>0</v>
      </c>
    </row>
    <row r="308" spans="1:6" hidden="1" x14ac:dyDescent="0.3">
      <c r="A308" t="s">
        <v>141</v>
      </c>
      <c r="B308" t="s">
        <v>67</v>
      </c>
      <c r="C308" t="s">
        <v>90</v>
      </c>
      <c r="D308">
        <v>2015</v>
      </c>
      <c r="E308" t="s">
        <v>63</v>
      </c>
      <c r="F308">
        <v>0</v>
      </c>
    </row>
    <row r="309" spans="1:6" hidden="1" x14ac:dyDescent="0.3">
      <c r="A309" t="s">
        <v>142</v>
      </c>
      <c r="B309" t="s">
        <v>67</v>
      </c>
      <c r="C309" t="s">
        <v>90</v>
      </c>
      <c r="D309">
        <v>2015</v>
      </c>
      <c r="E309" t="s">
        <v>63</v>
      </c>
      <c r="F309">
        <v>0</v>
      </c>
    </row>
    <row r="310" spans="1:6" hidden="1" x14ac:dyDescent="0.3">
      <c r="A310" t="s">
        <v>138</v>
      </c>
      <c r="B310" t="s">
        <v>67</v>
      </c>
      <c r="C310" t="s">
        <v>24</v>
      </c>
      <c r="E310" t="s">
        <v>63</v>
      </c>
      <c r="F310" s="10">
        <v>800000</v>
      </c>
    </row>
    <row r="311" spans="1:6" hidden="1" x14ac:dyDescent="0.3">
      <c r="A311" t="s">
        <v>139</v>
      </c>
      <c r="B311" t="s">
        <v>67</v>
      </c>
      <c r="C311" t="s">
        <v>24</v>
      </c>
      <c r="E311" t="s">
        <v>63</v>
      </c>
      <c r="F311" s="10">
        <v>800000</v>
      </c>
    </row>
    <row r="312" spans="1:6" hidden="1" x14ac:dyDescent="0.3">
      <c r="A312" t="s">
        <v>140</v>
      </c>
      <c r="B312" t="s">
        <v>67</v>
      </c>
      <c r="C312" t="s">
        <v>24</v>
      </c>
      <c r="E312" t="s">
        <v>63</v>
      </c>
      <c r="F312" s="10">
        <v>800000</v>
      </c>
    </row>
    <row r="313" spans="1:6" hidden="1" x14ac:dyDescent="0.3">
      <c r="A313" t="s">
        <v>141</v>
      </c>
      <c r="B313" t="s">
        <v>67</v>
      </c>
      <c r="C313" t="s">
        <v>24</v>
      </c>
      <c r="E313" t="s">
        <v>63</v>
      </c>
      <c r="F313" s="10">
        <v>800000</v>
      </c>
    </row>
    <row r="314" spans="1:6" hidden="1" x14ac:dyDescent="0.3">
      <c r="A314" t="s">
        <v>142</v>
      </c>
      <c r="B314" t="s">
        <v>67</v>
      </c>
      <c r="C314" t="s">
        <v>24</v>
      </c>
      <c r="E314" t="s">
        <v>63</v>
      </c>
      <c r="F314" s="10">
        <v>800000</v>
      </c>
    </row>
    <row r="315" spans="1:6" hidden="1" x14ac:dyDescent="0.3">
      <c r="A315" t="s">
        <v>138</v>
      </c>
      <c r="B315" t="s">
        <v>67</v>
      </c>
      <c r="C315" t="s">
        <v>25</v>
      </c>
      <c r="E315" t="s">
        <v>63</v>
      </c>
      <c r="F315" s="10">
        <v>1650000.0000000002</v>
      </c>
    </row>
    <row r="316" spans="1:6" hidden="1" x14ac:dyDescent="0.3">
      <c r="A316" t="s">
        <v>139</v>
      </c>
      <c r="B316" t="s">
        <v>67</v>
      </c>
      <c r="C316" t="s">
        <v>25</v>
      </c>
      <c r="E316" t="s">
        <v>63</v>
      </c>
      <c r="F316" s="10">
        <v>1650000.0000000002</v>
      </c>
    </row>
    <row r="317" spans="1:6" hidden="1" x14ac:dyDescent="0.3">
      <c r="A317" t="s">
        <v>140</v>
      </c>
      <c r="B317" t="s">
        <v>67</v>
      </c>
      <c r="C317" t="s">
        <v>25</v>
      </c>
      <c r="E317" t="s">
        <v>63</v>
      </c>
      <c r="F317" s="10">
        <v>1650000.0000000002</v>
      </c>
    </row>
    <row r="318" spans="1:6" hidden="1" x14ac:dyDescent="0.3">
      <c r="A318" t="s">
        <v>141</v>
      </c>
      <c r="B318" t="s">
        <v>67</v>
      </c>
      <c r="C318" t="s">
        <v>25</v>
      </c>
      <c r="E318" t="s">
        <v>63</v>
      </c>
      <c r="F318" s="10">
        <v>1650000.0000000002</v>
      </c>
    </row>
    <row r="319" spans="1:6" hidden="1" x14ac:dyDescent="0.3">
      <c r="A319" t="s">
        <v>142</v>
      </c>
      <c r="B319" t="s">
        <v>67</v>
      </c>
      <c r="C319" t="s">
        <v>25</v>
      </c>
      <c r="E319" t="s">
        <v>63</v>
      </c>
      <c r="F319" s="10">
        <v>1650000.0000000002</v>
      </c>
    </row>
    <row r="320" spans="1:6" hidden="1" x14ac:dyDescent="0.3">
      <c r="A320" t="s">
        <v>138</v>
      </c>
      <c r="B320" t="s">
        <v>67</v>
      </c>
      <c r="C320" t="s">
        <v>87</v>
      </c>
      <c r="E320" t="s">
        <v>63</v>
      </c>
      <c r="F320">
        <v>1050000</v>
      </c>
    </row>
    <row r="321" spans="1:6" hidden="1" x14ac:dyDescent="0.3">
      <c r="A321" t="s">
        <v>139</v>
      </c>
      <c r="B321" t="s">
        <v>67</v>
      </c>
      <c r="C321" t="s">
        <v>87</v>
      </c>
      <c r="E321" t="s">
        <v>63</v>
      </c>
      <c r="F321">
        <v>1050000</v>
      </c>
    </row>
    <row r="322" spans="1:6" hidden="1" x14ac:dyDescent="0.3">
      <c r="A322" t="s">
        <v>140</v>
      </c>
      <c r="B322" t="s">
        <v>67</v>
      </c>
      <c r="C322" t="s">
        <v>87</v>
      </c>
      <c r="E322" t="s">
        <v>63</v>
      </c>
      <c r="F322">
        <v>1050000</v>
      </c>
    </row>
    <row r="323" spans="1:6" hidden="1" x14ac:dyDescent="0.3">
      <c r="A323" t="s">
        <v>141</v>
      </c>
      <c r="B323" t="s">
        <v>67</v>
      </c>
      <c r="C323" t="s">
        <v>87</v>
      </c>
      <c r="E323" t="s">
        <v>63</v>
      </c>
      <c r="F323">
        <v>1050000</v>
      </c>
    </row>
    <row r="324" spans="1:6" hidden="1" x14ac:dyDescent="0.3">
      <c r="A324" t="s">
        <v>142</v>
      </c>
      <c r="B324" t="s">
        <v>67</v>
      </c>
      <c r="C324" t="s">
        <v>87</v>
      </c>
      <c r="E324" t="s">
        <v>63</v>
      </c>
      <c r="F324">
        <v>1050000</v>
      </c>
    </row>
    <row r="325" spans="1:6" hidden="1" x14ac:dyDescent="0.3">
      <c r="A325" t="s">
        <v>138</v>
      </c>
      <c r="B325" t="s">
        <v>67</v>
      </c>
      <c r="C325" t="s">
        <v>88</v>
      </c>
      <c r="E325" t="s">
        <v>63</v>
      </c>
      <c r="F325">
        <v>550000</v>
      </c>
    </row>
    <row r="326" spans="1:6" hidden="1" x14ac:dyDescent="0.3">
      <c r="A326" t="s">
        <v>139</v>
      </c>
      <c r="B326" t="s">
        <v>67</v>
      </c>
      <c r="C326" t="s">
        <v>88</v>
      </c>
      <c r="E326" t="s">
        <v>63</v>
      </c>
      <c r="F326">
        <v>550000</v>
      </c>
    </row>
    <row r="327" spans="1:6" hidden="1" x14ac:dyDescent="0.3">
      <c r="A327" t="s">
        <v>140</v>
      </c>
      <c r="B327" t="s">
        <v>67</v>
      </c>
      <c r="C327" t="s">
        <v>88</v>
      </c>
      <c r="E327" t="s">
        <v>63</v>
      </c>
      <c r="F327">
        <v>550000</v>
      </c>
    </row>
    <row r="328" spans="1:6" hidden="1" x14ac:dyDescent="0.3">
      <c r="A328" t="s">
        <v>141</v>
      </c>
      <c r="B328" t="s">
        <v>67</v>
      </c>
      <c r="C328" t="s">
        <v>88</v>
      </c>
      <c r="E328" t="s">
        <v>63</v>
      </c>
      <c r="F328">
        <v>550000</v>
      </c>
    </row>
    <row r="329" spans="1:6" hidden="1" x14ac:dyDescent="0.3">
      <c r="A329" t="s">
        <v>142</v>
      </c>
      <c r="B329" t="s">
        <v>67</v>
      </c>
      <c r="C329" t="s">
        <v>88</v>
      </c>
      <c r="E329" t="s">
        <v>63</v>
      </c>
      <c r="F329">
        <v>550000</v>
      </c>
    </row>
    <row r="330" spans="1:6" hidden="1" x14ac:dyDescent="0.3">
      <c r="A330" t="s">
        <v>138</v>
      </c>
      <c r="B330" t="s">
        <v>67</v>
      </c>
      <c r="C330" t="s">
        <v>89</v>
      </c>
      <c r="E330" t="s">
        <v>63</v>
      </c>
      <c r="F330">
        <v>750000</v>
      </c>
    </row>
    <row r="331" spans="1:6" hidden="1" x14ac:dyDescent="0.3">
      <c r="A331" t="s">
        <v>139</v>
      </c>
      <c r="B331" t="s">
        <v>67</v>
      </c>
      <c r="C331" t="s">
        <v>89</v>
      </c>
      <c r="E331" t="s">
        <v>63</v>
      </c>
      <c r="F331">
        <v>750000</v>
      </c>
    </row>
    <row r="332" spans="1:6" hidden="1" x14ac:dyDescent="0.3">
      <c r="A332" t="s">
        <v>140</v>
      </c>
      <c r="B332" t="s">
        <v>67</v>
      </c>
      <c r="C332" t="s">
        <v>89</v>
      </c>
      <c r="E332" t="s">
        <v>63</v>
      </c>
      <c r="F332">
        <v>750000</v>
      </c>
    </row>
    <row r="333" spans="1:6" hidden="1" x14ac:dyDescent="0.3">
      <c r="A333" t="s">
        <v>141</v>
      </c>
      <c r="B333" t="s">
        <v>67</v>
      </c>
      <c r="C333" t="s">
        <v>89</v>
      </c>
      <c r="E333" t="s">
        <v>63</v>
      </c>
      <c r="F333">
        <v>750000</v>
      </c>
    </row>
    <row r="334" spans="1:6" hidden="1" x14ac:dyDescent="0.3">
      <c r="A334" t="s">
        <v>142</v>
      </c>
      <c r="B334" t="s">
        <v>67</v>
      </c>
      <c r="C334" t="s">
        <v>89</v>
      </c>
      <c r="E334" t="s">
        <v>63</v>
      </c>
      <c r="F334">
        <v>750000</v>
      </c>
    </row>
    <row r="335" spans="1:6" hidden="1" x14ac:dyDescent="0.3">
      <c r="A335" t="s">
        <v>138</v>
      </c>
      <c r="B335" t="s">
        <v>67</v>
      </c>
      <c r="C335" t="s">
        <v>90</v>
      </c>
      <c r="E335" t="s">
        <v>63</v>
      </c>
      <c r="F335">
        <v>325000</v>
      </c>
    </row>
    <row r="336" spans="1:6" hidden="1" x14ac:dyDescent="0.3">
      <c r="A336" t="s">
        <v>139</v>
      </c>
      <c r="B336" t="s">
        <v>67</v>
      </c>
      <c r="C336" t="s">
        <v>90</v>
      </c>
      <c r="E336" t="s">
        <v>63</v>
      </c>
      <c r="F336">
        <v>325000</v>
      </c>
    </row>
    <row r="337" spans="1:6" hidden="1" x14ac:dyDescent="0.3">
      <c r="A337" t="s">
        <v>140</v>
      </c>
      <c r="B337" t="s">
        <v>67</v>
      </c>
      <c r="C337" t="s">
        <v>90</v>
      </c>
      <c r="E337" t="s">
        <v>63</v>
      </c>
      <c r="F337">
        <v>325000</v>
      </c>
    </row>
    <row r="338" spans="1:6" hidden="1" x14ac:dyDescent="0.3">
      <c r="A338" t="s">
        <v>141</v>
      </c>
      <c r="B338" t="s">
        <v>67</v>
      </c>
      <c r="C338" t="s">
        <v>90</v>
      </c>
      <c r="E338" t="s">
        <v>63</v>
      </c>
      <c r="F338">
        <v>325000</v>
      </c>
    </row>
    <row r="339" spans="1:6" hidden="1" x14ac:dyDescent="0.3">
      <c r="A339" t="s">
        <v>142</v>
      </c>
      <c r="B339" t="s">
        <v>67</v>
      </c>
      <c r="C339" t="s">
        <v>90</v>
      </c>
      <c r="E339" t="s">
        <v>63</v>
      </c>
      <c r="F339">
        <v>325000</v>
      </c>
    </row>
    <row r="340" spans="1:6" hidden="1" x14ac:dyDescent="0.3">
      <c r="A340" t="s">
        <v>138</v>
      </c>
      <c r="B340" t="s">
        <v>67</v>
      </c>
      <c r="E340" t="s">
        <v>128</v>
      </c>
      <c r="F340">
        <v>0</v>
      </c>
    </row>
    <row r="341" spans="1:6" hidden="1" x14ac:dyDescent="0.3">
      <c r="A341" t="s">
        <v>139</v>
      </c>
      <c r="B341" t="s">
        <v>67</v>
      </c>
      <c r="E341" t="s">
        <v>128</v>
      </c>
      <c r="F341">
        <v>0</v>
      </c>
    </row>
    <row r="342" spans="1:6" hidden="1" x14ac:dyDescent="0.3">
      <c r="A342" t="s">
        <v>140</v>
      </c>
      <c r="B342" t="s">
        <v>67</v>
      </c>
      <c r="E342" t="s">
        <v>128</v>
      </c>
      <c r="F342">
        <v>0</v>
      </c>
    </row>
    <row r="343" spans="1:6" hidden="1" x14ac:dyDescent="0.3">
      <c r="A343" t="s">
        <v>141</v>
      </c>
      <c r="B343" t="s">
        <v>67</v>
      </c>
      <c r="E343" t="s">
        <v>128</v>
      </c>
      <c r="F343">
        <v>0</v>
      </c>
    </row>
    <row r="344" spans="1:6" hidden="1" x14ac:dyDescent="0.3">
      <c r="A344" t="s">
        <v>142</v>
      </c>
      <c r="B344" t="s">
        <v>67</v>
      </c>
      <c r="E344" t="s">
        <v>128</v>
      </c>
      <c r="F344">
        <v>0</v>
      </c>
    </row>
    <row r="345" spans="1:6" hidden="1" x14ac:dyDescent="0.3">
      <c r="A345" t="s">
        <v>146</v>
      </c>
      <c r="B345" t="s">
        <v>145</v>
      </c>
      <c r="E345" t="s">
        <v>32</v>
      </c>
      <c r="F345">
        <v>20</v>
      </c>
    </row>
    <row r="346" spans="1:6" hidden="1" x14ac:dyDescent="0.3">
      <c r="A346" t="s">
        <v>147</v>
      </c>
      <c r="B346" t="s">
        <v>145</v>
      </c>
      <c r="E346" t="s">
        <v>32</v>
      </c>
      <c r="F346">
        <v>20</v>
      </c>
    </row>
    <row r="347" spans="1:6" hidden="1" x14ac:dyDescent="0.3">
      <c r="A347" t="s">
        <v>163</v>
      </c>
      <c r="B347" t="s">
        <v>145</v>
      </c>
      <c r="E347" t="s">
        <v>32</v>
      </c>
      <c r="F347">
        <v>12</v>
      </c>
    </row>
    <row r="348" spans="1:6" hidden="1" x14ac:dyDescent="0.3">
      <c r="A348" t="s">
        <v>165</v>
      </c>
      <c r="B348" t="s">
        <v>145</v>
      </c>
      <c r="E348" t="s">
        <v>32</v>
      </c>
      <c r="F348">
        <v>12</v>
      </c>
    </row>
    <row r="349" spans="1:6" hidden="1" x14ac:dyDescent="0.3">
      <c r="A349" t="s">
        <v>157</v>
      </c>
      <c r="B349" t="s">
        <v>145</v>
      </c>
      <c r="E349" t="s">
        <v>32</v>
      </c>
      <c r="F349">
        <v>12</v>
      </c>
    </row>
    <row r="350" spans="1:6" hidden="1" x14ac:dyDescent="0.3">
      <c r="A350" t="s">
        <v>159</v>
      </c>
      <c r="B350" t="s">
        <v>145</v>
      </c>
      <c r="E350" t="s">
        <v>32</v>
      </c>
      <c r="F350">
        <v>10</v>
      </c>
    </row>
    <row r="351" spans="1:6" hidden="1" x14ac:dyDescent="0.3">
      <c r="A351" t="s">
        <v>161</v>
      </c>
      <c r="B351" t="s">
        <v>145</v>
      </c>
      <c r="E351" t="s">
        <v>32</v>
      </c>
      <c r="F351">
        <v>10</v>
      </c>
    </row>
    <row r="352" spans="1:6" hidden="1" x14ac:dyDescent="0.3">
      <c r="A352" t="s">
        <v>164</v>
      </c>
      <c r="B352" t="s">
        <v>145</v>
      </c>
      <c r="E352" t="s">
        <v>32</v>
      </c>
      <c r="F352">
        <v>14</v>
      </c>
    </row>
    <row r="353" spans="1:6" hidden="1" x14ac:dyDescent="0.3">
      <c r="A353" t="s">
        <v>166</v>
      </c>
      <c r="B353" t="s">
        <v>145</v>
      </c>
      <c r="E353" t="s">
        <v>32</v>
      </c>
      <c r="F353">
        <v>14</v>
      </c>
    </row>
    <row r="354" spans="1:6" hidden="1" x14ac:dyDescent="0.3">
      <c r="A354" t="s">
        <v>158</v>
      </c>
      <c r="B354" t="s">
        <v>145</v>
      </c>
      <c r="E354" t="s">
        <v>32</v>
      </c>
      <c r="F354">
        <v>14</v>
      </c>
    </row>
    <row r="355" spans="1:6" hidden="1" x14ac:dyDescent="0.3">
      <c r="A355" t="s">
        <v>160</v>
      </c>
      <c r="B355" t="s">
        <v>145</v>
      </c>
      <c r="E355" t="s">
        <v>32</v>
      </c>
      <c r="F355">
        <v>10</v>
      </c>
    </row>
    <row r="356" spans="1:6" hidden="1" x14ac:dyDescent="0.3">
      <c r="A356" t="s">
        <v>162</v>
      </c>
      <c r="B356" t="s">
        <v>145</v>
      </c>
      <c r="E356" t="s">
        <v>32</v>
      </c>
      <c r="F356">
        <v>10</v>
      </c>
    </row>
    <row r="357" spans="1:6" hidden="1" x14ac:dyDescent="0.3">
      <c r="A357" t="s">
        <v>176</v>
      </c>
      <c r="B357" t="s">
        <v>145</v>
      </c>
      <c r="E357" t="s">
        <v>32</v>
      </c>
      <c r="F357">
        <v>10</v>
      </c>
    </row>
    <row r="358" spans="1:6" hidden="1" x14ac:dyDescent="0.3">
      <c r="A358" t="s">
        <v>177</v>
      </c>
      <c r="B358" t="s">
        <v>145</v>
      </c>
      <c r="E358" t="s">
        <v>32</v>
      </c>
      <c r="F358">
        <v>6</v>
      </c>
    </row>
    <row r="359" spans="1:6" hidden="1" x14ac:dyDescent="0.3">
      <c r="A359" t="s">
        <v>174</v>
      </c>
      <c r="B359" t="s">
        <v>145</v>
      </c>
      <c r="E359" t="s">
        <v>32</v>
      </c>
      <c r="F359">
        <v>20</v>
      </c>
    </row>
    <row r="360" spans="1:6" hidden="1" x14ac:dyDescent="0.3">
      <c r="A360" t="s">
        <v>170</v>
      </c>
      <c r="B360" t="s">
        <v>145</v>
      </c>
      <c r="E360" t="s">
        <v>32</v>
      </c>
      <c r="F360">
        <v>20</v>
      </c>
    </row>
    <row r="361" spans="1:6" hidden="1" x14ac:dyDescent="0.3">
      <c r="A361" t="s">
        <v>171</v>
      </c>
      <c r="B361" t="s">
        <v>145</v>
      </c>
      <c r="E361" t="s">
        <v>32</v>
      </c>
      <c r="F361">
        <v>20</v>
      </c>
    </row>
    <row r="362" spans="1:6" hidden="1" x14ac:dyDescent="0.3">
      <c r="A362" t="s">
        <v>175</v>
      </c>
      <c r="B362" t="s">
        <v>145</v>
      </c>
      <c r="E362" t="s">
        <v>32</v>
      </c>
      <c r="F362">
        <v>20</v>
      </c>
    </row>
    <row r="363" spans="1:6" hidden="1" x14ac:dyDescent="0.3">
      <c r="A363" t="s">
        <v>172</v>
      </c>
      <c r="B363" t="s">
        <v>145</v>
      </c>
      <c r="E363" t="s">
        <v>32</v>
      </c>
      <c r="F363">
        <v>20</v>
      </c>
    </row>
    <row r="364" spans="1:6" hidden="1" x14ac:dyDescent="0.3">
      <c r="A364" t="s">
        <v>173</v>
      </c>
      <c r="B364" t="s">
        <v>145</v>
      </c>
      <c r="E364" t="s">
        <v>32</v>
      </c>
      <c r="F364">
        <v>20</v>
      </c>
    </row>
    <row r="365" spans="1:6" hidden="1" x14ac:dyDescent="0.3">
      <c r="A365" t="s">
        <v>149</v>
      </c>
      <c r="B365" t="s">
        <v>145</v>
      </c>
      <c r="E365" t="s">
        <v>32</v>
      </c>
      <c r="F365">
        <v>20</v>
      </c>
    </row>
    <row r="366" spans="1:6" hidden="1" x14ac:dyDescent="0.3">
      <c r="A366" t="s">
        <v>148</v>
      </c>
      <c r="B366" t="s">
        <v>145</v>
      </c>
      <c r="E366" t="s">
        <v>32</v>
      </c>
      <c r="F366">
        <v>20</v>
      </c>
    </row>
    <row r="367" spans="1:6" hidden="1" x14ac:dyDescent="0.3">
      <c r="A367" t="s">
        <v>163</v>
      </c>
      <c r="B367" t="s">
        <v>145</v>
      </c>
      <c r="E367" t="s">
        <v>30</v>
      </c>
      <c r="F367">
        <v>181</v>
      </c>
    </row>
    <row r="368" spans="1:6" hidden="1" x14ac:dyDescent="0.3">
      <c r="A368" t="s">
        <v>165</v>
      </c>
      <c r="B368" t="s">
        <v>145</v>
      </c>
      <c r="E368" t="s">
        <v>30</v>
      </c>
      <c r="F368">
        <v>181</v>
      </c>
    </row>
    <row r="369" spans="1:6" hidden="1" x14ac:dyDescent="0.3">
      <c r="A369" t="s">
        <v>157</v>
      </c>
      <c r="B369" t="s">
        <v>145</v>
      </c>
      <c r="E369" t="s">
        <v>30</v>
      </c>
      <c r="F369">
        <v>181</v>
      </c>
    </row>
    <row r="370" spans="1:6" hidden="1" x14ac:dyDescent="0.3">
      <c r="A370" t="s">
        <v>159</v>
      </c>
      <c r="B370" t="s">
        <v>145</v>
      </c>
      <c r="E370" t="s">
        <v>30</v>
      </c>
      <c r="F370">
        <v>211</v>
      </c>
    </row>
    <row r="371" spans="1:6" hidden="1" x14ac:dyDescent="0.3">
      <c r="A371" t="s">
        <v>161</v>
      </c>
      <c r="B371" t="s">
        <v>145</v>
      </c>
      <c r="E371" t="s">
        <v>30</v>
      </c>
      <c r="F371">
        <v>211</v>
      </c>
    </row>
    <row r="372" spans="1:6" hidden="1" x14ac:dyDescent="0.3">
      <c r="A372" t="s">
        <v>164</v>
      </c>
      <c r="B372" t="s">
        <v>145</v>
      </c>
      <c r="E372" t="s">
        <v>30</v>
      </c>
      <c r="F372">
        <v>181</v>
      </c>
    </row>
    <row r="373" spans="1:6" hidden="1" x14ac:dyDescent="0.3">
      <c r="A373" t="s">
        <v>166</v>
      </c>
      <c r="B373" t="s">
        <v>145</v>
      </c>
      <c r="E373" t="s">
        <v>30</v>
      </c>
      <c r="F373">
        <v>181</v>
      </c>
    </row>
    <row r="374" spans="1:6" hidden="1" x14ac:dyDescent="0.3">
      <c r="A374" t="s">
        <v>158</v>
      </c>
      <c r="B374" t="s">
        <v>145</v>
      </c>
      <c r="E374" t="s">
        <v>30</v>
      </c>
      <c r="F374">
        <v>181</v>
      </c>
    </row>
    <row r="375" spans="1:6" hidden="1" x14ac:dyDescent="0.3">
      <c r="A375" t="s">
        <v>160</v>
      </c>
      <c r="B375" t="s">
        <v>145</v>
      </c>
      <c r="E375" t="s">
        <v>30</v>
      </c>
      <c r="F375">
        <v>211</v>
      </c>
    </row>
    <row r="376" spans="1:6" hidden="1" x14ac:dyDescent="0.3">
      <c r="A376" t="s">
        <v>162</v>
      </c>
      <c r="B376" t="s">
        <v>145</v>
      </c>
      <c r="E376" t="s">
        <v>30</v>
      </c>
      <c r="F376">
        <v>211</v>
      </c>
    </row>
    <row r="377" spans="1:6" hidden="1" x14ac:dyDescent="0.3">
      <c r="A377" t="s">
        <v>176</v>
      </c>
      <c r="B377" t="s">
        <v>145</v>
      </c>
      <c r="E377" t="s">
        <v>30</v>
      </c>
      <c r="F377">
        <v>389</v>
      </c>
    </row>
    <row r="378" spans="1:6" hidden="1" x14ac:dyDescent="0.3">
      <c r="A378" t="s">
        <v>177</v>
      </c>
      <c r="B378" t="s">
        <v>145</v>
      </c>
      <c r="E378" t="s">
        <v>30</v>
      </c>
      <c r="F378">
        <v>389</v>
      </c>
    </row>
    <row r="379" spans="1:6" hidden="1" x14ac:dyDescent="0.3">
      <c r="A379" t="s">
        <v>163</v>
      </c>
      <c r="B379" t="s">
        <v>145</v>
      </c>
      <c r="E379" t="s">
        <v>39</v>
      </c>
      <c r="F379">
        <v>6</v>
      </c>
    </row>
    <row r="380" spans="1:6" hidden="1" x14ac:dyDescent="0.3">
      <c r="A380" t="s">
        <v>165</v>
      </c>
      <c r="B380" t="s">
        <v>145</v>
      </c>
      <c r="E380" t="s">
        <v>39</v>
      </c>
      <c r="F380">
        <v>6</v>
      </c>
    </row>
    <row r="381" spans="1:6" hidden="1" x14ac:dyDescent="0.3">
      <c r="A381" t="s">
        <v>157</v>
      </c>
      <c r="B381" t="s">
        <v>145</v>
      </c>
      <c r="E381" t="s">
        <v>39</v>
      </c>
      <c r="F381">
        <v>6</v>
      </c>
    </row>
    <row r="382" spans="1:6" hidden="1" x14ac:dyDescent="0.3">
      <c r="A382" t="s">
        <v>159</v>
      </c>
      <c r="B382" t="s">
        <v>145</v>
      </c>
      <c r="E382" t="s">
        <v>39</v>
      </c>
      <c r="F382">
        <v>6</v>
      </c>
    </row>
    <row r="383" spans="1:6" hidden="1" x14ac:dyDescent="0.3">
      <c r="A383" t="s">
        <v>161</v>
      </c>
      <c r="B383" t="s">
        <v>145</v>
      </c>
      <c r="E383" t="s">
        <v>39</v>
      </c>
      <c r="F383">
        <v>6</v>
      </c>
    </row>
    <row r="384" spans="1:6" hidden="1" x14ac:dyDescent="0.3">
      <c r="A384" t="s">
        <v>164</v>
      </c>
      <c r="B384" t="s">
        <v>145</v>
      </c>
      <c r="E384" t="s">
        <v>39</v>
      </c>
      <c r="F384">
        <v>6</v>
      </c>
    </row>
    <row r="385" spans="1:6" hidden="1" x14ac:dyDescent="0.3">
      <c r="A385" t="s">
        <v>166</v>
      </c>
      <c r="B385" t="s">
        <v>145</v>
      </c>
      <c r="E385" t="s">
        <v>39</v>
      </c>
      <c r="F385">
        <v>6</v>
      </c>
    </row>
    <row r="386" spans="1:6" hidden="1" x14ac:dyDescent="0.3">
      <c r="A386" t="s">
        <v>158</v>
      </c>
      <c r="B386" t="s">
        <v>145</v>
      </c>
      <c r="E386" t="s">
        <v>39</v>
      </c>
      <c r="F386">
        <v>6</v>
      </c>
    </row>
    <row r="387" spans="1:6" hidden="1" x14ac:dyDescent="0.3">
      <c r="A387" t="s">
        <v>160</v>
      </c>
      <c r="B387" t="s">
        <v>145</v>
      </c>
      <c r="E387" t="s">
        <v>39</v>
      </c>
      <c r="F387">
        <v>6</v>
      </c>
    </row>
    <row r="388" spans="1:6" hidden="1" x14ac:dyDescent="0.3">
      <c r="A388" t="s">
        <v>162</v>
      </c>
      <c r="B388" t="s">
        <v>145</v>
      </c>
      <c r="E388" t="s">
        <v>39</v>
      </c>
      <c r="F388">
        <v>6</v>
      </c>
    </row>
    <row r="389" spans="1:6" hidden="1" x14ac:dyDescent="0.3">
      <c r="A389" t="s">
        <v>176</v>
      </c>
      <c r="B389" t="s">
        <v>145</v>
      </c>
      <c r="E389" t="s">
        <v>39</v>
      </c>
      <c r="F389">
        <v>12</v>
      </c>
    </row>
    <row r="390" spans="1:6" hidden="1" x14ac:dyDescent="0.3">
      <c r="A390" t="s">
        <v>177</v>
      </c>
      <c r="B390" t="s">
        <v>145</v>
      </c>
      <c r="E390" t="s">
        <v>39</v>
      </c>
      <c r="F390">
        <v>12</v>
      </c>
    </row>
    <row r="391" spans="1:6" hidden="1" x14ac:dyDescent="0.3">
      <c r="A391" t="s">
        <v>146</v>
      </c>
      <c r="B391" t="s">
        <v>145</v>
      </c>
      <c r="E391" t="s">
        <v>61</v>
      </c>
      <c r="F391" t="s">
        <v>150</v>
      </c>
    </row>
    <row r="392" spans="1:6" hidden="1" x14ac:dyDescent="0.3">
      <c r="A392" t="s">
        <v>147</v>
      </c>
      <c r="B392" t="s">
        <v>145</v>
      </c>
      <c r="E392" t="s">
        <v>61</v>
      </c>
      <c r="F392" t="s">
        <v>151</v>
      </c>
    </row>
    <row r="393" spans="1:6" hidden="1" x14ac:dyDescent="0.3">
      <c r="A393" t="s">
        <v>163</v>
      </c>
      <c r="B393" t="s">
        <v>145</v>
      </c>
      <c r="E393" t="s">
        <v>61</v>
      </c>
      <c r="F393" t="s">
        <v>152</v>
      </c>
    </row>
    <row r="394" spans="1:6" hidden="1" x14ac:dyDescent="0.3">
      <c r="A394" t="s">
        <v>165</v>
      </c>
      <c r="B394" t="s">
        <v>145</v>
      </c>
      <c r="E394" t="s">
        <v>61</v>
      </c>
      <c r="F394" t="s">
        <v>152</v>
      </c>
    </row>
    <row r="395" spans="1:6" hidden="1" x14ac:dyDescent="0.3">
      <c r="A395" t="s">
        <v>157</v>
      </c>
      <c r="B395" t="s">
        <v>145</v>
      </c>
      <c r="E395" t="s">
        <v>61</v>
      </c>
      <c r="F395" t="s">
        <v>152</v>
      </c>
    </row>
    <row r="396" spans="1:6" hidden="1" x14ac:dyDescent="0.3">
      <c r="A396" t="s">
        <v>159</v>
      </c>
      <c r="B396" t="s">
        <v>145</v>
      </c>
      <c r="E396" t="s">
        <v>61</v>
      </c>
      <c r="F396" t="s">
        <v>152</v>
      </c>
    </row>
    <row r="397" spans="1:6" hidden="1" x14ac:dyDescent="0.3">
      <c r="A397" t="s">
        <v>161</v>
      </c>
      <c r="B397" t="s">
        <v>145</v>
      </c>
      <c r="E397" t="s">
        <v>61</v>
      </c>
      <c r="F397" t="s">
        <v>152</v>
      </c>
    </row>
    <row r="398" spans="1:6" hidden="1" x14ac:dyDescent="0.3">
      <c r="A398" t="s">
        <v>164</v>
      </c>
      <c r="B398" t="s">
        <v>145</v>
      </c>
      <c r="E398" t="s">
        <v>61</v>
      </c>
      <c r="F398" t="s">
        <v>153</v>
      </c>
    </row>
    <row r="399" spans="1:6" hidden="1" x14ac:dyDescent="0.3">
      <c r="A399" t="s">
        <v>166</v>
      </c>
      <c r="B399" t="s">
        <v>145</v>
      </c>
      <c r="E399" t="s">
        <v>61</v>
      </c>
      <c r="F399" t="s">
        <v>153</v>
      </c>
    </row>
    <row r="400" spans="1:6" hidden="1" x14ac:dyDescent="0.3">
      <c r="A400" t="s">
        <v>158</v>
      </c>
      <c r="B400" t="s">
        <v>145</v>
      </c>
      <c r="E400" t="s">
        <v>61</v>
      </c>
      <c r="F400" t="s">
        <v>153</v>
      </c>
    </row>
    <row r="401" spans="1:6" hidden="1" x14ac:dyDescent="0.3">
      <c r="A401" t="s">
        <v>160</v>
      </c>
      <c r="B401" t="s">
        <v>145</v>
      </c>
      <c r="E401" t="s">
        <v>61</v>
      </c>
      <c r="F401" t="s">
        <v>153</v>
      </c>
    </row>
    <row r="402" spans="1:6" hidden="1" x14ac:dyDescent="0.3">
      <c r="A402" t="s">
        <v>162</v>
      </c>
      <c r="B402" t="s">
        <v>145</v>
      </c>
      <c r="E402" t="s">
        <v>61</v>
      </c>
      <c r="F402" t="s">
        <v>153</v>
      </c>
    </row>
    <row r="403" spans="1:6" hidden="1" x14ac:dyDescent="0.3">
      <c r="A403" t="s">
        <v>176</v>
      </c>
      <c r="B403" t="s">
        <v>145</v>
      </c>
      <c r="E403" t="s">
        <v>61</v>
      </c>
      <c r="F403" t="s">
        <v>153</v>
      </c>
    </row>
    <row r="404" spans="1:6" hidden="1" x14ac:dyDescent="0.3">
      <c r="A404" t="s">
        <v>177</v>
      </c>
      <c r="B404" t="s">
        <v>145</v>
      </c>
      <c r="E404" t="s">
        <v>61</v>
      </c>
      <c r="F404" t="s">
        <v>153</v>
      </c>
    </row>
    <row r="405" spans="1:6" hidden="1" x14ac:dyDescent="0.3">
      <c r="A405" t="s">
        <v>174</v>
      </c>
      <c r="B405" t="s">
        <v>145</v>
      </c>
      <c r="E405" t="s">
        <v>61</v>
      </c>
      <c r="F405" t="s">
        <v>168</v>
      </c>
    </row>
    <row r="406" spans="1:6" hidden="1" x14ac:dyDescent="0.3">
      <c r="A406" t="s">
        <v>170</v>
      </c>
      <c r="B406" t="s">
        <v>145</v>
      </c>
      <c r="E406" t="s">
        <v>61</v>
      </c>
      <c r="F406" t="s">
        <v>168</v>
      </c>
    </row>
    <row r="407" spans="1:6" hidden="1" x14ac:dyDescent="0.3">
      <c r="A407" t="s">
        <v>171</v>
      </c>
      <c r="B407" t="s">
        <v>145</v>
      </c>
      <c r="E407" t="s">
        <v>61</v>
      </c>
      <c r="F407" t="s">
        <v>168</v>
      </c>
    </row>
    <row r="408" spans="1:6" hidden="1" x14ac:dyDescent="0.3">
      <c r="A408" t="s">
        <v>175</v>
      </c>
      <c r="B408" t="s">
        <v>145</v>
      </c>
      <c r="E408" t="s">
        <v>61</v>
      </c>
      <c r="F408" t="s">
        <v>169</v>
      </c>
    </row>
    <row r="409" spans="1:6" hidden="1" x14ac:dyDescent="0.3">
      <c r="A409" t="s">
        <v>172</v>
      </c>
      <c r="B409" t="s">
        <v>145</v>
      </c>
      <c r="E409" t="s">
        <v>61</v>
      </c>
      <c r="F409" t="s">
        <v>169</v>
      </c>
    </row>
    <row r="410" spans="1:6" hidden="1" x14ac:dyDescent="0.3">
      <c r="A410" t="s">
        <v>173</v>
      </c>
      <c r="B410" t="s">
        <v>145</v>
      </c>
      <c r="E410" t="s">
        <v>61</v>
      </c>
      <c r="F410" t="s">
        <v>169</v>
      </c>
    </row>
    <row r="411" spans="1:6" hidden="1" x14ac:dyDescent="0.3">
      <c r="A411" t="s">
        <v>149</v>
      </c>
      <c r="B411" t="s">
        <v>145</v>
      </c>
      <c r="E411" t="s">
        <v>61</v>
      </c>
      <c r="F411" t="s">
        <v>154</v>
      </c>
    </row>
    <row r="412" spans="1:6" hidden="1" x14ac:dyDescent="0.3">
      <c r="A412" t="s">
        <v>148</v>
      </c>
      <c r="B412" t="s">
        <v>145</v>
      </c>
      <c r="E412" t="s">
        <v>61</v>
      </c>
      <c r="F412" t="s">
        <v>155</v>
      </c>
    </row>
    <row r="413" spans="1:6" hidden="1" x14ac:dyDescent="0.3">
      <c r="A413" t="s">
        <v>163</v>
      </c>
      <c r="B413" t="s">
        <v>145</v>
      </c>
      <c r="D413">
        <v>2015</v>
      </c>
      <c r="E413" t="s">
        <v>63</v>
      </c>
      <c r="F413">
        <v>0</v>
      </c>
    </row>
    <row r="414" spans="1:6" hidden="1" x14ac:dyDescent="0.3">
      <c r="A414" t="s">
        <v>165</v>
      </c>
      <c r="B414" t="s">
        <v>145</v>
      </c>
      <c r="D414">
        <v>2015</v>
      </c>
      <c r="E414" t="s">
        <v>63</v>
      </c>
      <c r="F414">
        <v>0</v>
      </c>
    </row>
    <row r="415" spans="1:6" hidden="1" x14ac:dyDescent="0.3">
      <c r="A415" t="s">
        <v>157</v>
      </c>
      <c r="B415" t="s">
        <v>145</v>
      </c>
      <c r="D415">
        <v>2015</v>
      </c>
      <c r="E415" t="s">
        <v>63</v>
      </c>
      <c r="F415">
        <v>0</v>
      </c>
    </row>
    <row r="416" spans="1:6" hidden="1" x14ac:dyDescent="0.3">
      <c r="A416" t="s">
        <v>159</v>
      </c>
      <c r="B416" t="s">
        <v>145</v>
      </c>
      <c r="D416">
        <v>2015</v>
      </c>
      <c r="E416" t="s">
        <v>63</v>
      </c>
      <c r="F416">
        <v>0</v>
      </c>
    </row>
    <row r="417" spans="1:6" hidden="1" x14ac:dyDescent="0.3">
      <c r="A417" t="s">
        <v>161</v>
      </c>
      <c r="B417" t="s">
        <v>145</v>
      </c>
      <c r="D417">
        <v>2015</v>
      </c>
      <c r="E417" t="s">
        <v>63</v>
      </c>
      <c r="F417">
        <v>0</v>
      </c>
    </row>
    <row r="418" spans="1:6" hidden="1" x14ac:dyDescent="0.3">
      <c r="A418" t="s">
        <v>164</v>
      </c>
      <c r="B418" t="s">
        <v>145</v>
      </c>
      <c r="D418">
        <v>2015</v>
      </c>
      <c r="E418" t="s">
        <v>63</v>
      </c>
      <c r="F418">
        <v>0</v>
      </c>
    </row>
    <row r="419" spans="1:6" hidden="1" x14ac:dyDescent="0.3">
      <c r="A419" t="s">
        <v>166</v>
      </c>
      <c r="B419" t="s">
        <v>145</v>
      </c>
      <c r="D419">
        <v>2015</v>
      </c>
      <c r="E419" t="s">
        <v>63</v>
      </c>
      <c r="F419">
        <v>0</v>
      </c>
    </row>
    <row r="420" spans="1:6" hidden="1" x14ac:dyDescent="0.3">
      <c r="A420" t="s">
        <v>158</v>
      </c>
      <c r="B420" t="s">
        <v>145</v>
      </c>
      <c r="D420">
        <v>2015</v>
      </c>
      <c r="E420" t="s">
        <v>63</v>
      </c>
      <c r="F420">
        <v>0</v>
      </c>
    </row>
    <row r="421" spans="1:6" hidden="1" x14ac:dyDescent="0.3">
      <c r="A421" t="s">
        <v>160</v>
      </c>
      <c r="B421" t="s">
        <v>145</v>
      </c>
      <c r="D421">
        <v>2015</v>
      </c>
      <c r="E421" t="s">
        <v>63</v>
      </c>
      <c r="F421">
        <v>0</v>
      </c>
    </row>
    <row r="422" spans="1:6" hidden="1" x14ac:dyDescent="0.3">
      <c r="A422" t="s">
        <v>162</v>
      </c>
      <c r="B422" t="s">
        <v>145</v>
      </c>
      <c r="D422">
        <v>2015</v>
      </c>
      <c r="E422" t="s">
        <v>63</v>
      </c>
      <c r="F422">
        <v>0</v>
      </c>
    </row>
    <row r="423" spans="1:6" hidden="1" x14ac:dyDescent="0.3">
      <c r="A423" t="s">
        <v>176</v>
      </c>
      <c r="B423" t="s">
        <v>145</v>
      </c>
      <c r="D423">
        <v>2015</v>
      </c>
      <c r="E423" t="s">
        <v>63</v>
      </c>
      <c r="F423">
        <v>0</v>
      </c>
    </row>
    <row r="424" spans="1:6" hidden="1" x14ac:dyDescent="0.3">
      <c r="A424" t="s">
        <v>177</v>
      </c>
      <c r="B424" t="s">
        <v>145</v>
      </c>
      <c r="D424">
        <v>2015</v>
      </c>
      <c r="E424" t="s">
        <v>63</v>
      </c>
      <c r="F424">
        <v>0</v>
      </c>
    </row>
    <row r="425" spans="1:6" hidden="1" x14ac:dyDescent="0.3">
      <c r="A425" t="s">
        <v>163</v>
      </c>
      <c r="B425" t="s">
        <v>145</v>
      </c>
      <c r="E425" t="s">
        <v>63</v>
      </c>
      <c r="F425" s="10">
        <v>1000000</v>
      </c>
    </row>
    <row r="426" spans="1:6" hidden="1" x14ac:dyDescent="0.3">
      <c r="A426" t="s">
        <v>165</v>
      </c>
      <c r="B426" t="s">
        <v>145</v>
      </c>
      <c r="E426" t="s">
        <v>63</v>
      </c>
      <c r="F426" s="10">
        <v>1000000</v>
      </c>
    </row>
    <row r="427" spans="1:6" hidden="1" x14ac:dyDescent="0.3">
      <c r="A427" t="s">
        <v>157</v>
      </c>
      <c r="B427" t="s">
        <v>145</v>
      </c>
      <c r="E427" t="s">
        <v>63</v>
      </c>
      <c r="F427" s="10">
        <v>1000000</v>
      </c>
    </row>
    <row r="428" spans="1:6" hidden="1" x14ac:dyDescent="0.3">
      <c r="A428" t="s">
        <v>159</v>
      </c>
      <c r="B428" t="s">
        <v>145</v>
      </c>
      <c r="E428" t="s">
        <v>63</v>
      </c>
      <c r="F428" s="10">
        <v>1000000</v>
      </c>
    </row>
    <row r="429" spans="1:6" hidden="1" x14ac:dyDescent="0.3">
      <c r="A429" t="s">
        <v>161</v>
      </c>
      <c r="B429" t="s">
        <v>145</v>
      </c>
      <c r="E429" t="s">
        <v>63</v>
      </c>
      <c r="F429" s="10">
        <v>1000000</v>
      </c>
    </row>
    <row r="430" spans="1:6" hidden="1" x14ac:dyDescent="0.3">
      <c r="A430" t="s">
        <v>164</v>
      </c>
      <c r="B430" t="s">
        <v>145</v>
      </c>
      <c r="E430" t="s">
        <v>63</v>
      </c>
      <c r="F430" s="10">
        <v>1000000</v>
      </c>
    </row>
    <row r="431" spans="1:6" hidden="1" x14ac:dyDescent="0.3">
      <c r="A431" t="s">
        <v>166</v>
      </c>
      <c r="B431" t="s">
        <v>145</v>
      </c>
      <c r="E431" t="s">
        <v>63</v>
      </c>
      <c r="F431" s="10">
        <v>1000000</v>
      </c>
    </row>
    <row r="432" spans="1:6" hidden="1" x14ac:dyDescent="0.3">
      <c r="A432" t="s">
        <v>158</v>
      </c>
      <c r="B432" t="s">
        <v>145</v>
      </c>
      <c r="E432" t="s">
        <v>63</v>
      </c>
      <c r="F432" s="10">
        <v>1000000</v>
      </c>
    </row>
    <row r="433" spans="1:6" hidden="1" x14ac:dyDescent="0.3">
      <c r="A433" t="s">
        <v>160</v>
      </c>
      <c r="B433" t="s">
        <v>145</v>
      </c>
      <c r="E433" t="s">
        <v>63</v>
      </c>
      <c r="F433" s="10">
        <v>1000000</v>
      </c>
    </row>
    <row r="434" spans="1:6" hidden="1" x14ac:dyDescent="0.3">
      <c r="A434" t="s">
        <v>162</v>
      </c>
      <c r="B434" t="s">
        <v>145</v>
      </c>
      <c r="E434" t="s">
        <v>63</v>
      </c>
      <c r="F434" s="10">
        <v>1000000</v>
      </c>
    </row>
    <row r="435" spans="1:6" hidden="1" x14ac:dyDescent="0.3">
      <c r="A435" t="s">
        <v>176</v>
      </c>
      <c r="B435" t="s">
        <v>145</v>
      </c>
      <c r="E435" t="s">
        <v>63</v>
      </c>
      <c r="F435" s="10">
        <v>1000000</v>
      </c>
    </row>
    <row r="436" spans="1:6" hidden="1" x14ac:dyDescent="0.3">
      <c r="A436" t="s">
        <v>177</v>
      </c>
      <c r="B436" t="s">
        <v>145</v>
      </c>
      <c r="E436" t="s">
        <v>63</v>
      </c>
      <c r="F436" s="10">
        <v>1000000</v>
      </c>
    </row>
    <row r="437" spans="1:6" hidden="1" x14ac:dyDescent="0.3">
      <c r="A437" t="s">
        <v>164</v>
      </c>
      <c r="B437" t="s">
        <v>145</v>
      </c>
      <c r="D437">
        <v>2015</v>
      </c>
      <c r="E437" t="s">
        <v>130</v>
      </c>
      <c r="F437">
        <v>10</v>
      </c>
    </row>
    <row r="438" spans="1:6" hidden="1" x14ac:dyDescent="0.3">
      <c r="A438" t="s">
        <v>166</v>
      </c>
      <c r="B438" t="s">
        <v>145</v>
      </c>
      <c r="D438">
        <v>2015</v>
      </c>
      <c r="E438" t="s">
        <v>130</v>
      </c>
      <c r="F438">
        <v>10</v>
      </c>
    </row>
    <row r="439" spans="1:6" hidden="1" x14ac:dyDescent="0.3">
      <c r="A439" t="s">
        <v>158</v>
      </c>
      <c r="B439" t="s">
        <v>145</v>
      </c>
      <c r="D439">
        <v>2015</v>
      </c>
      <c r="E439" t="s">
        <v>130</v>
      </c>
      <c r="F439">
        <v>10</v>
      </c>
    </row>
    <row r="440" spans="1:6" hidden="1" x14ac:dyDescent="0.3">
      <c r="A440" t="s">
        <v>178</v>
      </c>
      <c r="B440" t="s">
        <v>145</v>
      </c>
      <c r="E440" t="s">
        <v>32</v>
      </c>
      <c r="F440">
        <v>10</v>
      </c>
    </row>
    <row r="441" spans="1:6" hidden="1" x14ac:dyDescent="0.3">
      <c r="A441" t="s">
        <v>179</v>
      </c>
      <c r="B441" t="s">
        <v>145</v>
      </c>
      <c r="E441" t="s">
        <v>32</v>
      </c>
      <c r="F441">
        <v>6</v>
      </c>
    </row>
    <row r="442" spans="1:6" hidden="1" x14ac:dyDescent="0.3">
      <c r="A442" t="s">
        <v>178</v>
      </c>
      <c r="B442" t="s">
        <v>145</v>
      </c>
      <c r="E442" t="s">
        <v>30</v>
      </c>
      <c r="F442">
        <v>389</v>
      </c>
    </row>
    <row r="443" spans="1:6" hidden="1" x14ac:dyDescent="0.3">
      <c r="A443" t="s">
        <v>179</v>
      </c>
      <c r="B443" t="s">
        <v>145</v>
      </c>
      <c r="E443" t="s">
        <v>30</v>
      </c>
      <c r="F443">
        <v>389</v>
      </c>
    </row>
    <row r="444" spans="1:6" hidden="1" x14ac:dyDescent="0.3">
      <c r="A444" t="s">
        <v>178</v>
      </c>
      <c r="B444" t="s">
        <v>145</v>
      </c>
      <c r="E444" t="s">
        <v>39</v>
      </c>
      <c r="F444">
        <v>12</v>
      </c>
    </row>
    <row r="445" spans="1:6" hidden="1" x14ac:dyDescent="0.3">
      <c r="A445" t="s">
        <v>179</v>
      </c>
      <c r="B445" t="s">
        <v>145</v>
      </c>
      <c r="E445" t="s">
        <v>39</v>
      </c>
      <c r="F445">
        <v>12</v>
      </c>
    </row>
    <row r="446" spans="1:6" hidden="1" x14ac:dyDescent="0.3">
      <c r="A446" t="s">
        <v>178</v>
      </c>
      <c r="B446" t="s">
        <v>145</v>
      </c>
      <c r="E446" t="s">
        <v>61</v>
      </c>
      <c r="F446" t="s">
        <v>152</v>
      </c>
    </row>
    <row r="447" spans="1:6" hidden="1" x14ac:dyDescent="0.3">
      <c r="A447" t="s">
        <v>179</v>
      </c>
      <c r="B447" t="s">
        <v>145</v>
      </c>
      <c r="E447" t="s">
        <v>61</v>
      </c>
      <c r="F447" t="s">
        <v>152</v>
      </c>
    </row>
    <row r="448" spans="1:6" hidden="1" x14ac:dyDescent="0.3">
      <c r="A448" t="s">
        <v>178</v>
      </c>
      <c r="B448" t="s">
        <v>145</v>
      </c>
      <c r="D448">
        <v>2015</v>
      </c>
      <c r="E448" t="s">
        <v>63</v>
      </c>
      <c r="F448">
        <v>0</v>
      </c>
    </row>
    <row r="449" spans="1:6" hidden="1" x14ac:dyDescent="0.3">
      <c r="A449" t="s">
        <v>179</v>
      </c>
      <c r="B449" t="s">
        <v>145</v>
      </c>
      <c r="D449">
        <v>2015</v>
      </c>
      <c r="E449" t="s">
        <v>63</v>
      </c>
      <c r="F449">
        <v>0</v>
      </c>
    </row>
    <row r="450" spans="1:6" hidden="1" x14ac:dyDescent="0.3">
      <c r="A450" t="s">
        <v>178</v>
      </c>
      <c r="B450" t="s">
        <v>145</v>
      </c>
      <c r="E450" t="s">
        <v>63</v>
      </c>
      <c r="F450" s="10">
        <v>1000000</v>
      </c>
    </row>
    <row r="451" spans="1:6" hidden="1" x14ac:dyDescent="0.3">
      <c r="A451" t="s">
        <v>179</v>
      </c>
      <c r="B451" t="s">
        <v>145</v>
      </c>
      <c r="E451" t="s">
        <v>63</v>
      </c>
      <c r="F451" s="10">
        <v>1000000</v>
      </c>
    </row>
    <row r="452" spans="1:6" hidden="1" x14ac:dyDescent="0.3">
      <c r="A452" t="s">
        <v>34</v>
      </c>
      <c r="E452" t="s">
        <v>32</v>
      </c>
      <c r="F452">
        <v>30</v>
      </c>
    </row>
    <row r="453" spans="1:6" hidden="1" x14ac:dyDescent="0.3">
      <c r="A453" t="s">
        <v>34</v>
      </c>
      <c r="E453" t="s">
        <v>30</v>
      </c>
      <c r="F453">
        <v>3167</v>
      </c>
    </row>
    <row r="454" spans="1:6" hidden="1" x14ac:dyDescent="0.3">
      <c r="A454" t="s">
        <v>183</v>
      </c>
      <c r="B454" t="s">
        <v>181</v>
      </c>
      <c r="E454" t="s">
        <v>30</v>
      </c>
      <c r="F454">
        <f>170000000/(24.5*8760)</f>
        <v>792.09766098220109</v>
      </c>
    </row>
    <row r="455" spans="1:6" hidden="1" x14ac:dyDescent="0.3">
      <c r="A455" t="s">
        <v>183</v>
      </c>
      <c r="B455" t="s">
        <v>181</v>
      </c>
      <c r="E455" t="s">
        <v>39</v>
      </c>
      <c r="F455">
        <f>0.083/35.3*43*1000</f>
        <v>101.10481586402267</v>
      </c>
    </row>
    <row r="456" spans="1:6" hidden="1" x14ac:dyDescent="0.3">
      <c r="A456" t="s">
        <v>183</v>
      </c>
      <c r="B456" t="s">
        <v>181</v>
      </c>
      <c r="E456" t="s">
        <v>32</v>
      </c>
      <c r="F456">
        <v>20</v>
      </c>
    </row>
    <row r="457" spans="1:6" hidden="1" x14ac:dyDescent="0.3">
      <c r="A457" t="s">
        <v>183</v>
      </c>
      <c r="B457" t="s">
        <v>181</v>
      </c>
      <c r="E457" t="s">
        <v>63</v>
      </c>
      <c r="F457" s="45">
        <v>0</v>
      </c>
    </row>
    <row r="458" spans="1:6" hidden="1" x14ac:dyDescent="0.3">
      <c r="A458" t="s">
        <v>106</v>
      </c>
      <c r="B458" t="s">
        <v>181</v>
      </c>
      <c r="E458" t="s">
        <v>63</v>
      </c>
      <c r="F458" s="10">
        <v>250000</v>
      </c>
    </row>
    <row r="459" spans="1:6" hidden="1" x14ac:dyDescent="0.3">
      <c r="A459" t="s">
        <v>107</v>
      </c>
      <c r="B459" t="s">
        <v>181</v>
      </c>
      <c r="E459" t="s">
        <v>63</v>
      </c>
      <c r="F459" s="10">
        <v>250000</v>
      </c>
    </row>
    <row r="460" spans="1:6" hidden="1" x14ac:dyDescent="0.3">
      <c r="A460" t="s">
        <v>108</v>
      </c>
      <c r="B460" t="s">
        <v>181</v>
      </c>
      <c r="E460" t="s">
        <v>63</v>
      </c>
      <c r="F460" s="10">
        <v>250000</v>
      </c>
    </row>
    <row r="461" spans="1:6" hidden="1" x14ac:dyDescent="0.3">
      <c r="A461" t="s">
        <v>109</v>
      </c>
      <c r="B461" t="s">
        <v>181</v>
      </c>
      <c r="E461" t="s">
        <v>63</v>
      </c>
      <c r="F461" s="10">
        <v>250000</v>
      </c>
    </row>
    <row r="462" spans="1:6" hidden="1" x14ac:dyDescent="0.3">
      <c r="A462" t="s">
        <v>132</v>
      </c>
      <c r="B462" t="s">
        <v>181</v>
      </c>
      <c r="E462" t="s">
        <v>63</v>
      </c>
      <c r="F462" s="10">
        <v>1000000</v>
      </c>
    </row>
    <row r="463" spans="1:6" hidden="1" x14ac:dyDescent="0.3">
      <c r="A463" t="s">
        <v>133</v>
      </c>
      <c r="B463" t="s">
        <v>181</v>
      </c>
      <c r="E463" t="s">
        <v>63</v>
      </c>
      <c r="F463" s="10">
        <v>1000000</v>
      </c>
    </row>
    <row r="464" spans="1:6" hidden="1" x14ac:dyDescent="0.3">
      <c r="A464" t="s">
        <v>110</v>
      </c>
      <c r="B464" t="s">
        <v>181</v>
      </c>
      <c r="E464" t="s">
        <v>63</v>
      </c>
      <c r="F464" s="10">
        <v>1000000</v>
      </c>
    </row>
    <row r="465" spans="1:10" hidden="1" x14ac:dyDescent="0.3">
      <c r="A465" t="s">
        <v>111</v>
      </c>
      <c r="B465" t="s">
        <v>181</v>
      </c>
      <c r="E465" t="s">
        <v>63</v>
      </c>
      <c r="F465" s="10">
        <v>1000000</v>
      </c>
      <c r="J465" s="46"/>
    </row>
    <row r="466" spans="1:10" hidden="1" x14ac:dyDescent="0.3">
      <c r="A466" t="s">
        <v>112</v>
      </c>
      <c r="B466" t="s">
        <v>181</v>
      </c>
      <c r="E466" t="s">
        <v>63</v>
      </c>
      <c r="F466" s="10">
        <v>1000000</v>
      </c>
    </row>
    <row r="467" spans="1:10" hidden="1" x14ac:dyDescent="0.3">
      <c r="A467" t="s">
        <v>113</v>
      </c>
      <c r="B467" t="s">
        <v>181</v>
      </c>
      <c r="E467" t="s">
        <v>63</v>
      </c>
      <c r="F467" s="10">
        <v>1000000</v>
      </c>
    </row>
    <row r="468" spans="1:10" hidden="1" x14ac:dyDescent="0.3">
      <c r="A468" t="s">
        <v>114</v>
      </c>
      <c r="B468" t="s">
        <v>181</v>
      </c>
      <c r="E468" t="s">
        <v>63</v>
      </c>
      <c r="F468" s="10">
        <v>1000000</v>
      </c>
    </row>
    <row r="469" spans="1:10" hidden="1" x14ac:dyDescent="0.3">
      <c r="A469" t="s">
        <v>183</v>
      </c>
      <c r="B469" t="s">
        <v>181</v>
      </c>
      <c r="E469" t="s">
        <v>61</v>
      </c>
      <c r="F469" t="s">
        <v>182</v>
      </c>
    </row>
    <row r="470" spans="1:10" hidden="1" x14ac:dyDescent="0.3">
      <c r="A470" t="s">
        <v>196</v>
      </c>
      <c r="B470" t="s">
        <v>67</v>
      </c>
      <c r="E470" t="s">
        <v>30</v>
      </c>
    </row>
    <row r="471" spans="1:10" hidden="1" x14ac:dyDescent="0.3">
      <c r="A471" t="s">
        <v>196</v>
      </c>
      <c r="B471" t="s">
        <v>67</v>
      </c>
      <c r="E471" t="s">
        <v>39</v>
      </c>
      <c r="F471">
        <v>28.5</v>
      </c>
    </row>
    <row r="472" spans="1:10" hidden="1" x14ac:dyDescent="0.3">
      <c r="A472" t="s">
        <v>196</v>
      </c>
      <c r="B472" t="s">
        <v>67</v>
      </c>
      <c r="E472" t="s">
        <v>32</v>
      </c>
      <c r="F472">
        <v>50</v>
      </c>
    </row>
    <row r="473" spans="1:10" hidden="1" x14ac:dyDescent="0.3">
      <c r="A473" t="s">
        <v>196</v>
      </c>
      <c r="B473" t="s">
        <v>67</v>
      </c>
      <c r="E473" t="s">
        <v>61</v>
      </c>
      <c r="F473" t="s">
        <v>185</v>
      </c>
    </row>
    <row r="474" spans="1:10" hidden="1" x14ac:dyDescent="0.3">
      <c r="A474" t="s">
        <v>186</v>
      </c>
      <c r="B474" t="s">
        <v>67</v>
      </c>
      <c r="E474" t="s">
        <v>30</v>
      </c>
      <c r="F474">
        <v>221</v>
      </c>
    </row>
    <row r="475" spans="1:10" hidden="1" x14ac:dyDescent="0.3">
      <c r="A475" t="s">
        <v>186</v>
      </c>
      <c r="B475" t="s">
        <v>67</v>
      </c>
      <c r="E475" t="s">
        <v>39</v>
      </c>
      <c r="F475">
        <v>28.5</v>
      </c>
    </row>
    <row r="476" spans="1:10" hidden="1" x14ac:dyDescent="0.3">
      <c r="A476" t="s">
        <v>186</v>
      </c>
      <c r="B476" t="s">
        <v>67</v>
      </c>
      <c r="E476" t="s">
        <v>32</v>
      </c>
      <c r="F476">
        <v>50</v>
      </c>
    </row>
    <row r="477" spans="1:10" hidden="1" x14ac:dyDescent="0.3">
      <c r="A477" t="s">
        <v>186</v>
      </c>
      <c r="B477" t="s">
        <v>67</v>
      </c>
      <c r="E477" t="s">
        <v>61</v>
      </c>
      <c r="F477" t="s">
        <v>190</v>
      </c>
    </row>
    <row r="478" spans="1:10" hidden="1" x14ac:dyDescent="0.3">
      <c r="A478" t="s">
        <v>192</v>
      </c>
      <c r="B478" t="s">
        <v>67</v>
      </c>
      <c r="E478" t="s">
        <v>30</v>
      </c>
      <c r="F478">
        <v>221</v>
      </c>
    </row>
    <row r="479" spans="1:10" hidden="1" x14ac:dyDescent="0.3">
      <c r="A479" t="s">
        <v>192</v>
      </c>
      <c r="B479" t="s">
        <v>67</v>
      </c>
      <c r="E479" t="s">
        <v>39</v>
      </c>
      <c r="F479">
        <v>28.5</v>
      </c>
    </row>
    <row r="480" spans="1:10" hidden="1" x14ac:dyDescent="0.3">
      <c r="A480" t="s">
        <v>192</v>
      </c>
      <c r="B480" t="s">
        <v>67</v>
      </c>
      <c r="E480" t="s">
        <v>32</v>
      </c>
      <c r="F480">
        <v>50</v>
      </c>
    </row>
    <row r="481" spans="1:6" hidden="1" x14ac:dyDescent="0.3">
      <c r="A481" t="s">
        <v>192</v>
      </c>
      <c r="B481" t="s">
        <v>67</v>
      </c>
      <c r="E481" t="s">
        <v>61</v>
      </c>
      <c r="F481" t="s">
        <v>191</v>
      </c>
    </row>
    <row r="482" spans="1:6" hidden="1" x14ac:dyDescent="0.3">
      <c r="A482" t="s">
        <v>194</v>
      </c>
      <c r="B482" t="s">
        <v>67</v>
      </c>
      <c r="E482" t="s">
        <v>30</v>
      </c>
      <c r="F482">
        <v>221</v>
      </c>
    </row>
    <row r="483" spans="1:6" hidden="1" x14ac:dyDescent="0.3">
      <c r="A483" t="s">
        <v>194</v>
      </c>
      <c r="B483" t="s">
        <v>67</v>
      </c>
      <c r="E483" t="s">
        <v>39</v>
      </c>
      <c r="F483">
        <v>28.5</v>
      </c>
    </row>
    <row r="484" spans="1:6" hidden="1" x14ac:dyDescent="0.3">
      <c r="A484" t="s">
        <v>194</v>
      </c>
      <c r="B484" t="s">
        <v>67</v>
      </c>
      <c r="E484" t="s">
        <v>32</v>
      </c>
      <c r="F484">
        <v>50</v>
      </c>
    </row>
    <row r="485" spans="1:6" hidden="1" x14ac:dyDescent="0.3">
      <c r="A485" t="s">
        <v>194</v>
      </c>
      <c r="B485" t="s">
        <v>67</v>
      </c>
      <c r="E485" t="s">
        <v>61</v>
      </c>
      <c r="F485" t="s">
        <v>190</v>
      </c>
    </row>
    <row r="486" spans="1:6" hidden="1" x14ac:dyDescent="0.3">
      <c r="A486" t="s">
        <v>195</v>
      </c>
      <c r="B486" t="s">
        <v>67</v>
      </c>
      <c r="E486" t="s">
        <v>30</v>
      </c>
      <c r="F486">
        <v>221</v>
      </c>
    </row>
    <row r="487" spans="1:6" hidden="1" x14ac:dyDescent="0.3">
      <c r="A487" t="s">
        <v>195</v>
      </c>
      <c r="B487" t="s">
        <v>67</v>
      </c>
      <c r="E487" t="s">
        <v>39</v>
      </c>
      <c r="F487">
        <v>28.5</v>
      </c>
    </row>
    <row r="488" spans="1:6" hidden="1" x14ac:dyDescent="0.3">
      <c r="A488" t="s">
        <v>195</v>
      </c>
      <c r="B488" t="s">
        <v>67</v>
      </c>
      <c r="E488" t="s">
        <v>32</v>
      </c>
      <c r="F488">
        <v>50</v>
      </c>
    </row>
    <row r="489" spans="1:6" hidden="1" x14ac:dyDescent="0.3">
      <c r="A489" t="s">
        <v>195</v>
      </c>
      <c r="B489" t="s">
        <v>67</v>
      </c>
      <c r="E489" t="s">
        <v>61</v>
      </c>
      <c r="F489" t="s">
        <v>191</v>
      </c>
    </row>
    <row r="490" spans="1:6" hidden="1" x14ac:dyDescent="0.3">
      <c r="A490" t="s">
        <v>188</v>
      </c>
      <c r="B490" t="s">
        <v>67</v>
      </c>
      <c r="E490" t="s">
        <v>30</v>
      </c>
    </row>
    <row r="491" spans="1:6" hidden="1" x14ac:dyDescent="0.3">
      <c r="A491" t="s">
        <v>188</v>
      </c>
      <c r="B491" t="s">
        <v>67</v>
      </c>
      <c r="E491" t="s">
        <v>39</v>
      </c>
      <c r="F491">
        <v>28.5</v>
      </c>
    </row>
    <row r="492" spans="1:6" hidden="1" x14ac:dyDescent="0.3">
      <c r="A492" t="s">
        <v>188</v>
      </c>
      <c r="B492" t="s">
        <v>67</v>
      </c>
      <c r="E492" t="s">
        <v>32</v>
      </c>
      <c r="F492">
        <v>50</v>
      </c>
    </row>
    <row r="493" spans="1:6" hidden="1" x14ac:dyDescent="0.3">
      <c r="A493" t="s">
        <v>188</v>
      </c>
      <c r="B493" t="s">
        <v>67</v>
      </c>
      <c r="E493" t="s">
        <v>61</v>
      </c>
      <c r="F493" t="s">
        <v>189</v>
      </c>
    </row>
    <row r="494" spans="1:6" hidden="1" x14ac:dyDescent="0.3">
      <c r="A494" t="s">
        <v>193</v>
      </c>
      <c r="B494" t="s">
        <v>67</v>
      </c>
      <c r="E494" t="s">
        <v>30</v>
      </c>
    </row>
    <row r="495" spans="1:6" hidden="1" x14ac:dyDescent="0.3">
      <c r="A495" t="s">
        <v>193</v>
      </c>
      <c r="B495" t="s">
        <v>67</v>
      </c>
      <c r="E495" t="s">
        <v>39</v>
      </c>
      <c r="F495">
        <v>28.5</v>
      </c>
    </row>
    <row r="496" spans="1:6" hidden="1" x14ac:dyDescent="0.3">
      <c r="A496" t="s">
        <v>193</v>
      </c>
      <c r="B496" t="s">
        <v>67</v>
      </c>
      <c r="E496" t="s">
        <v>32</v>
      </c>
      <c r="F496">
        <v>50</v>
      </c>
    </row>
    <row r="497" spans="1:6" hidden="1" x14ac:dyDescent="0.3">
      <c r="A497" t="s">
        <v>193</v>
      </c>
      <c r="B497" t="s">
        <v>67</v>
      </c>
      <c r="E497" t="s">
        <v>61</v>
      </c>
      <c r="F497" t="s">
        <v>187</v>
      </c>
    </row>
    <row r="498" spans="1:6" x14ac:dyDescent="0.3">
      <c r="A498" t="s">
        <v>41</v>
      </c>
      <c r="E498" t="s">
        <v>39</v>
      </c>
      <c r="F498">
        <f>0.09*F14</f>
        <v>489.87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8"/>
  <sheetViews>
    <sheetView topLeftCell="A43" workbookViewId="0">
      <selection activeCell="D61" sqref="D61"/>
    </sheetView>
  </sheetViews>
  <sheetFormatPr baseColWidth="10" defaultRowHeight="14.4" x14ac:dyDescent="0.3"/>
  <cols>
    <col min="1" max="1" width="49.44140625" bestFit="1" customWidth="1"/>
    <col min="2" max="2" width="16.109375" bestFit="1" customWidth="1"/>
    <col min="3" max="3" width="16.109375" customWidth="1"/>
    <col min="4" max="4" width="11.6640625" customWidth="1"/>
    <col min="6" max="6" width="21.6640625" bestFit="1" customWidth="1"/>
    <col min="7" max="7" width="13.44140625" bestFit="1" customWidth="1"/>
  </cols>
  <sheetData>
    <row r="1" spans="1:7" ht="15.6" x14ac:dyDescent="0.3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ht="15.6" x14ac:dyDescent="0.3">
      <c r="A2" t="s">
        <v>138</v>
      </c>
      <c r="B2" s="1"/>
      <c r="C2" t="s">
        <v>67</v>
      </c>
      <c r="F2" t="s">
        <v>29</v>
      </c>
      <c r="G2" s="34" t="s">
        <v>143</v>
      </c>
    </row>
    <row r="3" spans="1:7" ht="15.6" x14ac:dyDescent="0.3">
      <c r="A3" t="s">
        <v>139</v>
      </c>
      <c r="B3" s="1"/>
      <c r="C3" t="s">
        <v>67</v>
      </c>
      <c r="F3" t="s">
        <v>29</v>
      </c>
      <c r="G3" s="34" t="s">
        <v>143</v>
      </c>
    </row>
    <row r="4" spans="1:7" ht="15.6" x14ac:dyDescent="0.3">
      <c r="A4" t="s">
        <v>140</v>
      </c>
      <c r="B4" s="1"/>
      <c r="C4" t="s">
        <v>67</v>
      </c>
      <c r="F4" t="s">
        <v>29</v>
      </c>
      <c r="G4" s="34" t="s">
        <v>143</v>
      </c>
    </row>
    <row r="5" spans="1:7" ht="15.6" x14ac:dyDescent="0.3">
      <c r="A5" t="s">
        <v>141</v>
      </c>
      <c r="B5" s="1"/>
      <c r="C5" t="s">
        <v>67</v>
      </c>
      <c r="F5" t="s">
        <v>29</v>
      </c>
      <c r="G5" s="34" t="s">
        <v>143</v>
      </c>
    </row>
    <row r="6" spans="1:7" ht="15.6" x14ac:dyDescent="0.3">
      <c r="A6" t="s">
        <v>142</v>
      </c>
      <c r="B6" s="1"/>
      <c r="C6" t="s">
        <v>67</v>
      </c>
      <c r="F6" t="s">
        <v>29</v>
      </c>
      <c r="G6" s="34" t="s">
        <v>143</v>
      </c>
    </row>
    <row r="7" spans="1:7" ht="15.6" x14ac:dyDescent="0.3">
      <c r="A7" t="s">
        <v>138</v>
      </c>
      <c r="B7" s="1"/>
      <c r="C7" t="s">
        <v>67</v>
      </c>
      <c r="E7">
        <v>2015</v>
      </c>
      <c r="F7" t="s">
        <v>38</v>
      </c>
      <c r="G7" s="34">
        <v>0.5</v>
      </c>
    </row>
    <row r="8" spans="1:7" ht="15.6" x14ac:dyDescent="0.3">
      <c r="A8" t="s">
        <v>140</v>
      </c>
      <c r="B8" s="1"/>
      <c r="C8" t="s">
        <v>67</v>
      </c>
      <c r="E8">
        <v>2015</v>
      </c>
      <c r="F8" t="s">
        <v>38</v>
      </c>
      <c r="G8" s="34">
        <v>0.5</v>
      </c>
    </row>
    <row r="9" spans="1:7" ht="15.6" x14ac:dyDescent="0.3">
      <c r="A9" t="s">
        <v>138</v>
      </c>
      <c r="B9" s="1"/>
      <c r="C9" t="s">
        <v>67</v>
      </c>
      <c r="E9">
        <v>2016</v>
      </c>
      <c r="F9" t="s">
        <v>38</v>
      </c>
      <c r="G9" s="34">
        <v>0.5</v>
      </c>
    </row>
    <row r="10" spans="1:7" ht="15.6" x14ac:dyDescent="0.3">
      <c r="A10" t="s">
        <v>140</v>
      </c>
      <c r="B10" s="1"/>
      <c r="C10" t="s">
        <v>67</v>
      </c>
      <c r="E10">
        <v>2016</v>
      </c>
      <c r="F10" t="s">
        <v>38</v>
      </c>
      <c r="G10" s="34">
        <v>0.5</v>
      </c>
    </row>
    <row r="11" spans="1:7" ht="15.6" x14ac:dyDescent="0.3">
      <c r="A11" t="s">
        <v>138</v>
      </c>
      <c r="B11" s="1"/>
      <c r="C11" t="s">
        <v>67</v>
      </c>
      <c r="E11">
        <v>2017</v>
      </c>
      <c r="F11" t="s">
        <v>38</v>
      </c>
      <c r="G11" s="34">
        <v>0.5</v>
      </c>
    </row>
    <row r="12" spans="1:7" ht="15.6" x14ac:dyDescent="0.3">
      <c r="A12" t="s">
        <v>140</v>
      </c>
      <c r="B12" s="1"/>
      <c r="C12" t="s">
        <v>67</v>
      </c>
      <c r="E12">
        <v>2017</v>
      </c>
      <c r="F12" t="s">
        <v>38</v>
      </c>
      <c r="G12" s="34">
        <v>0.5</v>
      </c>
    </row>
    <row r="13" spans="1:7" ht="15.6" x14ac:dyDescent="0.3">
      <c r="A13" t="s">
        <v>138</v>
      </c>
      <c r="B13" s="1"/>
      <c r="C13" t="s">
        <v>67</v>
      </c>
      <c r="E13">
        <v>2018</v>
      </c>
      <c r="F13" t="s">
        <v>38</v>
      </c>
      <c r="G13" s="34">
        <v>0.5</v>
      </c>
    </row>
    <row r="14" spans="1:7" ht="15.6" x14ac:dyDescent="0.3">
      <c r="A14" t="s">
        <v>140</v>
      </c>
      <c r="B14" s="1"/>
      <c r="C14" t="s">
        <v>67</v>
      </c>
      <c r="E14">
        <v>2018</v>
      </c>
      <c r="F14" t="s">
        <v>38</v>
      </c>
      <c r="G14" s="34">
        <v>0.5</v>
      </c>
    </row>
    <row r="15" spans="1:7" ht="15.6" x14ac:dyDescent="0.3">
      <c r="A15" t="s">
        <v>138</v>
      </c>
      <c r="B15" s="1"/>
      <c r="C15" t="s">
        <v>67</v>
      </c>
      <c r="E15">
        <v>2019</v>
      </c>
      <c r="F15" t="s">
        <v>38</v>
      </c>
      <c r="G15" s="34">
        <v>0.5</v>
      </c>
    </row>
    <row r="16" spans="1:7" ht="15.6" x14ac:dyDescent="0.3">
      <c r="A16" t="s">
        <v>140</v>
      </c>
      <c r="B16" s="1"/>
      <c r="C16" t="s">
        <v>67</v>
      </c>
      <c r="E16">
        <v>2019</v>
      </c>
      <c r="F16" t="s">
        <v>38</v>
      </c>
      <c r="G16" s="34">
        <v>0.5</v>
      </c>
    </row>
    <row r="17" spans="1:7" ht="15.6" x14ac:dyDescent="0.3">
      <c r="A17" t="s">
        <v>138</v>
      </c>
      <c r="B17" s="1"/>
      <c r="C17" t="s">
        <v>67</v>
      </c>
      <c r="F17" s="35" t="s">
        <v>86</v>
      </c>
      <c r="G17" s="34">
        <v>0.75</v>
      </c>
    </row>
    <row r="18" spans="1:7" x14ac:dyDescent="0.3">
      <c r="A18" t="s">
        <v>68</v>
      </c>
      <c r="C18" t="s">
        <v>67</v>
      </c>
      <c r="F18" t="s">
        <v>29</v>
      </c>
      <c r="G18" t="s">
        <v>78</v>
      </c>
    </row>
    <row r="19" spans="1:7" x14ac:dyDescent="0.3">
      <c r="A19" t="s">
        <v>69</v>
      </c>
      <c r="C19" t="s">
        <v>67</v>
      </c>
      <c r="F19" t="s">
        <v>29</v>
      </c>
      <c r="G19" t="s">
        <v>78</v>
      </c>
    </row>
    <row r="20" spans="1:7" x14ac:dyDescent="0.3">
      <c r="A20" t="s">
        <v>70</v>
      </c>
      <c r="C20" t="s">
        <v>67</v>
      </c>
      <c r="F20" t="s">
        <v>29</v>
      </c>
      <c r="G20" t="s">
        <v>78</v>
      </c>
    </row>
    <row r="21" spans="1:7" x14ac:dyDescent="0.3">
      <c r="A21" t="s">
        <v>80</v>
      </c>
      <c r="C21" t="s">
        <v>67</v>
      </c>
      <c r="F21" t="s">
        <v>29</v>
      </c>
      <c r="G21" t="s">
        <v>78</v>
      </c>
    </row>
    <row r="22" spans="1:7" x14ac:dyDescent="0.3">
      <c r="A22" t="s">
        <v>81</v>
      </c>
      <c r="C22" t="s">
        <v>67</v>
      </c>
      <c r="F22" t="s">
        <v>29</v>
      </c>
      <c r="G22" t="s">
        <v>78</v>
      </c>
    </row>
    <row r="23" spans="1:7" x14ac:dyDescent="0.3">
      <c r="A23" t="s">
        <v>69</v>
      </c>
      <c r="C23" t="s">
        <v>67</v>
      </c>
      <c r="E23">
        <v>2015</v>
      </c>
      <c r="F23" t="s">
        <v>38</v>
      </c>
      <c r="G23">
        <v>0.25</v>
      </c>
    </row>
    <row r="24" spans="1:7" x14ac:dyDescent="0.3">
      <c r="A24" t="s">
        <v>70</v>
      </c>
      <c r="C24" t="s">
        <v>67</v>
      </c>
      <c r="E24">
        <v>2015</v>
      </c>
      <c r="F24" t="s">
        <v>38</v>
      </c>
      <c r="G24">
        <v>0.5</v>
      </c>
    </row>
    <row r="25" spans="1:7" x14ac:dyDescent="0.3">
      <c r="A25" t="s">
        <v>68</v>
      </c>
      <c r="C25" t="s">
        <v>67</v>
      </c>
      <c r="E25">
        <v>2015</v>
      </c>
      <c r="F25" t="s">
        <v>38</v>
      </c>
      <c r="G25">
        <v>0.25</v>
      </c>
    </row>
    <row r="26" spans="1:7" x14ac:dyDescent="0.3">
      <c r="A26" t="s">
        <v>68</v>
      </c>
      <c r="C26" t="s">
        <v>67</v>
      </c>
      <c r="E26">
        <v>2016</v>
      </c>
      <c r="F26" t="s">
        <v>38</v>
      </c>
      <c r="G26">
        <v>0.23076923076923078</v>
      </c>
    </row>
    <row r="27" spans="1:7" x14ac:dyDescent="0.3">
      <c r="A27" t="s">
        <v>68</v>
      </c>
      <c r="C27" t="s">
        <v>67</v>
      </c>
      <c r="E27">
        <v>2017</v>
      </c>
      <c r="F27" t="s">
        <v>38</v>
      </c>
      <c r="G27">
        <v>0.21153846153846156</v>
      </c>
    </row>
    <row r="28" spans="1:7" x14ac:dyDescent="0.3">
      <c r="A28" t="s">
        <v>68</v>
      </c>
      <c r="C28" t="s">
        <v>67</v>
      </c>
      <c r="E28">
        <v>2018</v>
      </c>
      <c r="F28" t="s">
        <v>38</v>
      </c>
      <c r="G28">
        <v>0.19230769230769235</v>
      </c>
    </row>
    <row r="29" spans="1:7" x14ac:dyDescent="0.3">
      <c r="A29" t="s">
        <v>68</v>
      </c>
      <c r="C29" t="s">
        <v>67</v>
      </c>
      <c r="E29">
        <v>2019</v>
      </c>
      <c r="F29" t="s">
        <v>38</v>
      </c>
      <c r="G29">
        <v>0.17307692307692313</v>
      </c>
    </row>
    <row r="30" spans="1:7" x14ac:dyDescent="0.3">
      <c r="A30" t="s">
        <v>68</v>
      </c>
      <c r="C30" t="s">
        <v>67</v>
      </c>
      <c r="E30">
        <v>2020</v>
      </c>
      <c r="F30" t="s">
        <v>38</v>
      </c>
      <c r="G30">
        <v>0.15384615384615391</v>
      </c>
    </row>
    <row r="31" spans="1:7" x14ac:dyDescent="0.3">
      <c r="A31" t="s">
        <v>68</v>
      </c>
      <c r="C31" t="s">
        <v>67</v>
      </c>
      <c r="E31">
        <v>2021</v>
      </c>
      <c r="F31" t="s">
        <v>38</v>
      </c>
      <c r="G31">
        <v>0.13461538461538469</v>
      </c>
    </row>
    <row r="32" spans="1:7" x14ac:dyDescent="0.3">
      <c r="A32" t="s">
        <v>68</v>
      </c>
      <c r="C32" t="s">
        <v>67</v>
      </c>
      <c r="E32">
        <v>2022</v>
      </c>
      <c r="F32" t="s">
        <v>38</v>
      </c>
      <c r="G32">
        <v>0.11538461538461546</v>
      </c>
    </row>
    <row r="33" spans="1:7" x14ac:dyDescent="0.3">
      <c r="A33" t="s">
        <v>68</v>
      </c>
      <c r="C33" t="s">
        <v>67</v>
      </c>
      <c r="E33">
        <v>2023</v>
      </c>
      <c r="F33" t="s">
        <v>38</v>
      </c>
      <c r="G33">
        <v>9.6153846153846229E-2</v>
      </c>
    </row>
    <row r="34" spans="1:7" x14ac:dyDescent="0.3">
      <c r="A34" t="s">
        <v>68</v>
      </c>
      <c r="C34" t="s">
        <v>67</v>
      </c>
      <c r="E34">
        <v>2024</v>
      </c>
      <c r="F34" t="s">
        <v>38</v>
      </c>
      <c r="G34">
        <v>7.6923076923076997E-2</v>
      </c>
    </row>
    <row r="35" spans="1:7" x14ac:dyDescent="0.3">
      <c r="A35" t="s">
        <v>68</v>
      </c>
      <c r="C35" t="s">
        <v>67</v>
      </c>
      <c r="E35">
        <v>2025</v>
      </c>
      <c r="F35" t="s">
        <v>38</v>
      </c>
      <c r="G35">
        <v>5.7692307692307765E-2</v>
      </c>
    </row>
    <row r="36" spans="1:7" x14ac:dyDescent="0.3">
      <c r="A36" t="s">
        <v>68</v>
      </c>
      <c r="C36" t="s">
        <v>67</v>
      </c>
      <c r="E36">
        <v>2026</v>
      </c>
      <c r="F36" t="s">
        <v>38</v>
      </c>
      <c r="G36">
        <v>3.8461538461538533E-2</v>
      </c>
    </row>
    <row r="37" spans="1:7" x14ac:dyDescent="0.3">
      <c r="A37" t="s">
        <v>68</v>
      </c>
      <c r="C37" t="s">
        <v>67</v>
      </c>
      <c r="E37">
        <v>2027</v>
      </c>
      <c r="F37" t="s">
        <v>38</v>
      </c>
      <c r="G37">
        <v>1.9230769230769301E-2</v>
      </c>
    </row>
    <row r="38" spans="1:7" x14ac:dyDescent="0.3">
      <c r="A38" t="s">
        <v>68</v>
      </c>
      <c r="C38" t="s">
        <v>67</v>
      </c>
      <c r="E38">
        <v>2015</v>
      </c>
      <c r="F38" t="s">
        <v>86</v>
      </c>
      <c r="G38">
        <v>0.25</v>
      </c>
    </row>
    <row r="39" spans="1:7" x14ac:dyDescent="0.3">
      <c r="A39" t="s">
        <v>68</v>
      </c>
      <c r="C39" t="s">
        <v>67</v>
      </c>
      <c r="E39">
        <v>2016</v>
      </c>
      <c r="F39" t="s">
        <v>86</v>
      </c>
      <c r="G39">
        <v>0.23076923076923078</v>
      </c>
    </row>
    <row r="40" spans="1:7" x14ac:dyDescent="0.3">
      <c r="A40" t="s">
        <v>68</v>
      </c>
      <c r="C40" t="s">
        <v>67</v>
      </c>
      <c r="E40">
        <v>2017</v>
      </c>
      <c r="F40" t="s">
        <v>86</v>
      </c>
      <c r="G40">
        <v>0.21153846153846156</v>
      </c>
    </row>
    <row r="41" spans="1:7" x14ac:dyDescent="0.3">
      <c r="A41" t="s">
        <v>68</v>
      </c>
      <c r="C41" t="s">
        <v>67</v>
      </c>
      <c r="E41">
        <v>2018</v>
      </c>
      <c r="F41" t="s">
        <v>86</v>
      </c>
      <c r="G41">
        <v>0.19230769230769235</v>
      </c>
    </row>
    <row r="42" spans="1:7" x14ac:dyDescent="0.3">
      <c r="A42" t="s">
        <v>68</v>
      </c>
      <c r="C42" t="s">
        <v>67</v>
      </c>
      <c r="E42">
        <v>2019</v>
      </c>
      <c r="F42" t="s">
        <v>86</v>
      </c>
      <c r="G42">
        <v>0.17307692307692313</v>
      </c>
    </row>
    <row r="43" spans="1:7" x14ac:dyDescent="0.3">
      <c r="A43" t="s">
        <v>68</v>
      </c>
      <c r="C43" t="s">
        <v>67</v>
      </c>
      <c r="E43">
        <v>2020</v>
      </c>
      <c r="F43" t="s">
        <v>86</v>
      </c>
      <c r="G43">
        <v>0.15384615384615391</v>
      </c>
    </row>
    <row r="44" spans="1:7" x14ac:dyDescent="0.3">
      <c r="A44" t="s">
        <v>68</v>
      </c>
      <c r="C44" t="s">
        <v>67</v>
      </c>
      <c r="E44">
        <v>2021</v>
      </c>
      <c r="F44" t="s">
        <v>86</v>
      </c>
      <c r="G44">
        <v>0.13461538461538469</v>
      </c>
    </row>
    <row r="45" spans="1:7" x14ac:dyDescent="0.3">
      <c r="A45" t="s">
        <v>68</v>
      </c>
      <c r="C45" t="s">
        <v>67</v>
      </c>
      <c r="E45">
        <v>2022</v>
      </c>
      <c r="F45" t="s">
        <v>86</v>
      </c>
      <c r="G45">
        <v>0.11538461538461546</v>
      </c>
    </row>
    <row r="46" spans="1:7" x14ac:dyDescent="0.3">
      <c r="A46" t="s">
        <v>68</v>
      </c>
      <c r="C46" t="s">
        <v>67</v>
      </c>
      <c r="E46">
        <v>2023</v>
      </c>
      <c r="F46" t="s">
        <v>86</v>
      </c>
      <c r="G46">
        <v>9.6153846153846229E-2</v>
      </c>
    </row>
    <row r="47" spans="1:7" x14ac:dyDescent="0.3">
      <c r="A47" t="s">
        <v>68</v>
      </c>
      <c r="C47" t="s">
        <v>67</v>
      </c>
      <c r="E47">
        <v>2024</v>
      </c>
      <c r="F47" t="s">
        <v>86</v>
      </c>
      <c r="G47">
        <v>7.6923076923076997E-2</v>
      </c>
    </row>
    <row r="48" spans="1:7" x14ac:dyDescent="0.3">
      <c r="A48" t="s">
        <v>68</v>
      </c>
      <c r="C48" t="s">
        <v>67</v>
      </c>
      <c r="E48">
        <v>2025</v>
      </c>
      <c r="F48" t="s">
        <v>86</v>
      </c>
      <c r="G48">
        <v>5.7692307692307765E-2</v>
      </c>
    </row>
    <row r="49" spans="1:7" x14ac:dyDescent="0.3">
      <c r="A49" t="s">
        <v>68</v>
      </c>
      <c r="C49" t="s">
        <v>67</v>
      </c>
      <c r="E49">
        <v>2026</v>
      </c>
      <c r="F49" t="s">
        <v>86</v>
      </c>
      <c r="G49">
        <v>3.8461538461538533E-2</v>
      </c>
    </row>
    <row r="50" spans="1:7" x14ac:dyDescent="0.3">
      <c r="A50" t="s">
        <v>68</v>
      </c>
      <c r="C50" t="s">
        <v>67</v>
      </c>
      <c r="E50">
        <v>2027</v>
      </c>
      <c r="F50" t="s">
        <v>86</v>
      </c>
      <c r="G50">
        <v>1.9230769230769301E-2</v>
      </c>
    </row>
    <row r="51" spans="1:7" x14ac:dyDescent="0.3">
      <c r="A51" t="s">
        <v>116</v>
      </c>
      <c r="F51" t="s">
        <v>29</v>
      </c>
      <c r="G51" t="s">
        <v>12</v>
      </c>
    </row>
    <row r="52" spans="1:7" x14ac:dyDescent="0.3">
      <c r="A52" t="s">
        <v>119</v>
      </c>
      <c r="B52" t="s">
        <v>122</v>
      </c>
      <c r="C52" t="s">
        <v>117</v>
      </c>
      <c r="D52" t="s">
        <v>24</v>
      </c>
      <c r="E52">
        <v>2027</v>
      </c>
      <c r="F52" t="s">
        <v>123</v>
      </c>
      <c r="G52" s="10">
        <v>2000000</v>
      </c>
    </row>
    <row r="53" spans="1:7" x14ac:dyDescent="0.3">
      <c r="A53" t="s">
        <v>119</v>
      </c>
      <c r="B53" t="s">
        <v>122</v>
      </c>
      <c r="C53" t="s">
        <v>117</v>
      </c>
      <c r="D53" t="s">
        <v>24</v>
      </c>
      <c r="E53">
        <v>2028</v>
      </c>
      <c r="F53" t="s">
        <v>123</v>
      </c>
      <c r="G53" s="10">
        <v>2000000</v>
      </c>
    </row>
    <row r="54" spans="1:7" x14ac:dyDescent="0.3">
      <c r="A54" t="s">
        <v>119</v>
      </c>
      <c r="B54" t="s">
        <v>122</v>
      </c>
      <c r="C54" t="s">
        <v>117</v>
      </c>
      <c r="D54" t="s">
        <v>24</v>
      </c>
      <c r="E54">
        <v>2029</v>
      </c>
      <c r="F54" t="s">
        <v>123</v>
      </c>
      <c r="G54" s="10">
        <v>2000000</v>
      </c>
    </row>
    <row r="55" spans="1:7" x14ac:dyDescent="0.3">
      <c r="A55" t="s">
        <v>119</v>
      </c>
      <c r="F55" t="s">
        <v>29</v>
      </c>
      <c r="G55" t="s">
        <v>12</v>
      </c>
    </row>
    <row r="56" spans="1:7" x14ac:dyDescent="0.3">
      <c r="A56" t="s">
        <v>119</v>
      </c>
      <c r="B56" t="s">
        <v>124</v>
      </c>
      <c r="C56" t="s">
        <v>117</v>
      </c>
      <c r="D56" t="s">
        <v>24</v>
      </c>
      <c r="E56">
        <v>2030</v>
      </c>
      <c r="F56" t="s">
        <v>123</v>
      </c>
      <c r="G56" s="10">
        <v>2000000</v>
      </c>
    </row>
    <row r="57" spans="1:7" x14ac:dyDescent="0.3">
      <c r="A57" t="s">
        <v>119</v>
      </c>
      <c r="C57" t="s">
        <v>117</v>
      </c>
      <c r="D57" t="s">
        <v>24</v>
      </c>
      <c r="E57">
        <v>2031</v>
      </c>
      <c r="F57" t="s">
        <v>123</v>
      </c>
      <c r="G57" s="10">
        <v>2000000</v>
      </c>
    </row>
    <row r="58" spans="1:7" x14ac:dyDescent="0.3">
      <c r="A58" t="s">
        <v>119</v>
      </c>
      <c r="C58" t="s">
        <v>117</v>
      </c>
      <c r="D58" t="s">
        <v>24</v>
      </c>
      <c r="E58">
        <v>2032</v>
      </c>
      <c r="F58" t="s">
        <v>125</v>
      </c>
      <c r="G58" s="10">
        <v>2000000</v>
      </c>
    </row>
    <row r="59" spans="1:7" x14ac:dyDescent="0.3">
      <c r="A59" t="s">
        <v>119</v>
      </c>
      <c r="C59" t="s">
        <v>117</v>
      </c>
      <c r="D59" t="s">
        <v>24</v>
      </c>
      <c r="E59">
        <v>2033</v>
      </c>
      <c r="F59" t="s">
        <v>125</v>
      </c>
      <c r="G59" s="10">
        <v>2000000</v>
      </c>
    </row>
    <row r="60" spans="1:7" x14ac:dyDescent="0.3">
      <c r="A60" t="s">
        <v>119</v>
      </c>
      <c r="C60" t="s">
        <v>117</v>
      </c>
      <c r="D60" t="s">
        <v>24</v>
      </c>
      <c r="E60">
        <v>2034</v>
      </c>
      <c r="F60" t="s">
        <v>125</v>
      </c>
      <c r="G60" s="10">
        <v>2000000</v>
      </c>
    </row>
    <row r="61" spans="1:7" x14ac:dyDescent="0.3">
      <c r="A61" t="s">
        <v>119</v>
      </c>
      <c r="C61" t="s">
        <v>117</v>
      </c>
      <c r="D61" t="s">
        <v>24</v>
      </c>
      <c r="E61">
        <v>2035</v>
      </c>
      <c r="F61" t="s">
        <v>125</v>
      </c>
      <c r="G61" s="10">
        <v>2000000</v>
      </c>
    </row>
    <row r="62" spans="1:7" x14ac:dyDescent="0.3">
      <c r="A62" t="s">
        <v>119</v>
      </c>
      <c r="C62" t="s">
        <v>117</v>
      </c>
      <c r="D62" t="s">
        <v>24</v>
      </c>
      <c r="E62">
        <v>2036</v>
      </c>
      <c r="F62" t="s">
        <v>125</v>
      </c>
      <c r="G62" s="10">
        <v>2000000</v>
      </c>
    </row>
    <row r="63" spans="1:7" x14ac:dyDescent="0.3">
      <c r="A63" t="s">
        <v>119</v>
      </c>
      <c r="C63" t="s">
        <v>117</v>
      </c>
      <c r="D63" t="s">
        <v>24</v>
      </c>
      <c r="E63">
        <v>2037</v>
      </c>
      <c r="F63" t="s">
        <v>125</v>
      </c>
      <c r="G63" s="10">
        <v>2000000</v>
      </c>
    </row>
    <row r="64" spans="1:7" x14ac:dyDescent="0.3">
      <c r="A64" t="s">
        <v>18</v>
      </c>
      <c r="F64" t="s">
        <v>29</v>
      </c>
      <c r="G64" t="s">
        <v>11</v>
      </c>
    </row>
    <row r="65" spans="1:7" x14ac:dyDescent="0.3">
      <c r="A65" t="s">
        <v>119</v>
      </c>
      <c r="B65" t="s">
        <v>122</v>
      </c>
      <c r="C65" t="s">
        <v>117</v>
      </c>
      <c r="D65" t="s">
        <v>90</v>
      </c>
      <c r="E65">
        <v>2030</v>
      </c>
      <c r="F65" t="s">
        <v>123</v>
      </c>
      <c r="G65" s="10">
        <v>2300000</v>
      </c>
    </row>
    <row r="66" spans="1:7" x14ac:dyDescent="0.3">
      <c r="A66" t="s">
        <v>119</v>
      </c>
      <c r="B66" t="s">
        <v>122</v>
      </c>
      <c r="C66" t="s">
        <v>117</v>
      </c>
      <c r="D66" t="s">
        <v>90</v>
      </c>
      <c r="E66">
        <v>2031</v>
      </c>
      <c r="F66" t="s">
        <v>123</v>
      </c>
      <c r="G66" s="10">
        <v>2300000</v>
      </c>
    </row>
    <row r="67" spans="1:7" x14ac:dyDescent="0.3">
      <c r="A67" t="s">
        <v>119</v>
      </c>
      <c r="B67" t="s">
        <v>122</v>
      </c>
      <c r="C67" t="s">
        <v>117</v>
      </c>
      <c r="D67" t="s">
        <v>90</v>
      </c>
      <c r="E67">
        <v>2032</v>
      </c>
      <c r="F67" t="s">
        <v>123</v>
      </c>
      <c r="G67" s="10">
        <v>2300000</v>
      </c>
    </row>
    <row r="68" spans="1:7" x14ac:dyDescent="0.3">
      <c r="A68" t="s">
        <v>119</v>
      </c>
      <c r="C68" t="s">
        <v>117</v>
      </c>
      <c r="D68" t="s">
        <v>90</v>
      </c>
      <c r="E68">
        <v>2033</v>
      </c>
      <c r="F68" t="s">
        <v>123</v>
      </c>
      <c r="G68" s="10">
        <v>2300000</v>
      </c>
    </row>
    <row r="69" spans="1:7" x14ac:dyDescent="0.3">
      <c r="A69" t="s">
        <v>119</v>
      </c>
      <c r="C69" t="s">
        <v>117</v>
      </c>
      <c r="D69" t="s">
        <v>90</v>
      </c>
      <c r="E69">
        <v>2034</v>
      </c>
      <c r="F69" t="s">
        <v>123</v>
      </c>
      <c r="G69" s="10">
        <v>2300000</v>
      </c>
    </row>
    <row r="70" spans="1:7" x14ac:dyDescent="0.3">
      <c r="A70" t="s">
        <v>119</v>
      </c>
      <c r="C70" t="s">
        <v>117</v>
      </c>
      <c r="D70" t="s">
        <v>90</v>
      </c>
      <c r="E70">
        <v>2035</v>
      </c>
      <c r="F70" t="s">
        <v>123</v>
      </c>
      <c r="G70" s="10">
        <v>2300000</v>
      </c>
    </row>
    <row r="71" spans="1:7" x14ac:dyDescent="0.3">
      <c r="A71" t="s">
        <v>119</v>
      </c>
      <c r="C71" t="s">
        <v>117</v>
      </c>
      <c r="D71" t="s">
        <v>90</v>
      </c>
      <c r="E71">
        <v>2036</v>
      </c>
      <c r="F71" t="s">
        <v>125</v>
      </c>
      <c r="G71" s="10">
        <v>2300000</v>
      </c>
    </row>
    <row r="72" spans="1:7" x14ac:dyDescent="0.3">
      <c r="A72" t="s">
        <v>119</v>
      </c>
      <c r="C72" t="s">
        <v>117</v>
      </c>
      <c r="D72" t="s">
        <v>90</v>
      </c>
      <c r="E72">
        <v>2037</v>
      </c>
      <c r="F72" t="s">
        <v>125</v>
      </c>
      <c r="G72" s="10">
        <v>2300000</v>
      </c>
    </row>
    <row r="73" spans="1:7" x14ac:dyDescent="0.3">
      <c r="A73" t="s">
        <v>119</v>
      </c>
      <c r="C73" t="s">
        <v>117</v>
      </c>
      <c r="D73" t="s">
        <v>90</v>
      </c>
      <c r="E73">
        <v>2038</v>
      </c>
      <c r="F73" t="s">
        <v>125</v>
      </c>
      <c r="G73" s="10">
        <v>2300000</v>
      </c>
    </row>
    <row r="74" spans="1:7" x14ac:dyDescent="0.3">
      <c r="A74" t="s">
        <v>119</v>
      </c>
      <c r="C74" t="s">
        <v>117</v>
      </c>
      <c r="D74" t="s">
        <v>90</v>
      </c>
      <c r="E74">
        <v>2039</v>
      </c>
      <c r="F74" t="s">
        <v>125</v>
      </c>
      <c r="G74" s="10">
        <v>2300000</v>
      </c>
    </row>
    <row r="75" spans="1:7" x14ac:dyDescent="0.3">
      <c r="A75" t="s">
        <v>119</v>
      </c>
      <c r="C75" t="s">
        <v>117</v>
      </c>
      <c r="D75" t="s">
        <v>90</v>
      </c>
      <c r="E75">
        <v>2040</v>
      </c>
      <c r="F75" t="s">
        <v>125</v>
      </c>
      <c r="G75" s="10">
        <v>2300000</v>
      </c>
    </row>
    <row r="76" spans="1:7" x14ac:dyDescent="0.3">
      <c r="A76" t="s">
        <v>119</v>
      </c>
      <c r="B76" t="s">
        <v>122</v>
      </c>
      <c r="C76" t="s">
        <v>117</v>
      </c>
      <c r="D76" t="s">
        <v>89</v>
      </c>
      <c r="E76">
        <v>2025</v>
      </c>
      <c r="F76" t="s">
        <v>123</v>
      </c>
      <c r="G76" s="10">
        <v>2300000</v>
      </c>
    </row>
    <row r="77" spans="1:7" x14ac:dyDescent="0.3">
      <c r="A77" t="s">
        <v>119</v>
      </c>
      <c r="B77" t="s">
        <v>122</v>
      </c>
      <c r="C77" t="s">
        <v>117</v>
      </c>
      <c r="D77" t="s">
        <v>89</v>
      </c>
      <c r="E77">
        <v>2026</v>
      </c>
      <c r="F77" t="s">
        <v>123</v>
      </c>
      <c r="G77" s="10">
        <v>2300000</v>
      </c>
    </row>
    <row r="78" spans="1:7" x14ac:dyDescent="0.3">
      <c r="A78" t="s">
        <v>119</v>
      </c>
      <c r="B78" t="s">
        <v>122</v>
      </c>
      <c r="C78" t="s">
        <v>117</v>
      </c>
      <c r="D78" t="s">
        <v>89</v>
      </c>
      <c r="E78">
        <v>2027</v>
      </c>
      <c r="F78" t="s">
        <v>123</v>
      </c>
      <c r="G78" s="10">
        <v>2300000</v>
      </c>
    </row>
    <row r="79" spans="1:7" x14ac:dyDescent="0.3">
      <c r="A79" t="s">
        <v>119</v>
      </c>
      <c r="C79" t="s">
        <v>117</v>
      </c>
      <c r="D79" t="s">
        <v>89</v>
      </c>
      <c r="E79">
        <v>2028</v>
      </c>
      <c r="F79" t="s">
        <v>123</v>
      </c>
      <c r="G79" s="10">
        <v>2300000</v>
      </c>
    </row>
    <row r="80" spans="1:7" x14ac:dyDescent="0.3">
      <c r="A80" t="s">
        <v>119</v>
      </c>
      <c r="C80" t="s">
        <v>117</v>
      </c>
      <c r="D80" t="s">
        <v>89</v>
      </c>
      <c r="E80">
        <v>2029</v>
      </c>
      <c r="F80" t="s">
        <v>123</v>
      </c>
      <c r="G80" s="10">
        <v>2300000</v>
      </c>
    </row>
    <row r="81" spans="1:7" x14ac:dyDescent="0.3">
      <c r="A81" t="s">
        <v>119</v>
      </c>
      <c r="C81" t="s">
        <v>117</v>
      </c>
      <c r="D81" t="s">
        <v>89</v>
      </c>
      <c r="E81">
        <v>2030</v>
      </c>
      <c r="F81" t="s">
        <v>125</v>
      </c>
      <c r="G81" s="10">
        <v>2300000</v>
      </c>
    </row>
    <row r="82" spans="1:7" x14ac:dyDescent="0.3">
      <c r="A82" t="s">
        <v>119</v>
      </c>
      <c r="C82" t="s">
        <v>117</v>
      </c>
      <c r="D82" t="s">
        <v>89</v>
      </c>
      <c r="E82">
        <v>2031</v>
      </c>
      <c r="F82" t="s">
        <v>125</v>
      </c>
      <c r="G82" s="10">
        <v>2300000</v>
      </c>
    </row>
    <row r="83" spans="1:7" x14ac:dyDescent="0.3">
      <c r="A83" t="s">
        <v>119</v>
      </c>
      <c r="C83" t="s">
        <v>117</v>
      </c>
      <c r="D83" t="s">
        <v>89</v>
      </c>
      <c r="E83">
        <v>2032</v>
      </c>
      <c r="F83" t="s">
        <v>125</v>
      </c>
      <c r="G83" s="10">
        <v>2300000</v>
      </c>
    </row>
    <row r="84" spans="1:7" x14ac:dyDescent="0.3">
      <c r="A84" t="s">
        <v>119</v>
      </c>
      <c r="C84" t="s">
        <v>117</v>
      </c>
      <c r="D84" t="s">
        <v>89</v>
      </c>
      <c r="E84">
        <v>2033</v>
      </c>
      <c r="F84" t="s">
        <v>125</v>
      </c>
      <c r="G84" s="10">
        <v>2300000</v>
      </c>
    </row>
    <row r="85" spans="1:7" x14ac:dyDescent="0.3">
      <c r="A85" t="s">
        <v>119</v>
      </c>
      <c r="C85" t="s">
        <v>117</v>
      </c>
      <c r="D85" t="s">
        <v>89</v>
      </c>
      <c r="E85">
        <v>2034</v>
      </c>
      <c r="F85" t="s">
        <v>125</v>
      </c>
      <c r="G85" s="10">
        <v>2300000</v>
      </c>
    </row>
    <row r="86" spans="1:7" x14ac:dyDescent="0.3">
      <c r="A86" t="s">
        <v>119</v>
      </c>
      <c r="C86" t="s">
        <v>117</v>
      </c>
      <c r="D86" t="s">
        <v>89</v>
      </c>
      <c r="E86">
        <v>2035</v>
      </c>
      <c r="F86" t="s">
        <v>125</v>
      </c>
      <c r="G86" s="10">
        <v>2300000</v>
      </c>
    </row>
    <row r="87" spans="1:7" x14ac:dyDescent="0.3">
      <c r="A87" t="s">
        <v>163</v>
      </c>
      <c r="C87" t="s">
        <v>145</v>
      </c>
      <c r="E87">
        <v>2015</v>
      </c>
      <c r="F87" t="s">
        <v>38</v>
      </c>
      <c r="G87">
        <v>0.75</v>
      </c>
    </row>
    <row r="88" spans="1:7" x14ac:dyDescent="0.3">
      <c r="A88" t="s">
        <v>166</v>
      </c>
      <c r="C88" t="s">
        <v>145</v>
      </c>
      <c r="E88">
        <v>2015</v>
      </c>
      <c r="F88" t="s">
        <v>38</v>
      </c>
      <c r="G88">
        <v>0.9</v>
      </c>
    </row>
    <row r="89" spans="1:7" x14ac:dyDescent="0.3">
      <c r="A89" t="s">
        <v>157</v>
      </c>
      <c r="C89" t="s">
        <v>145</v>
      </c>
      <c r="E89">
        <v>2015</v>
      </c>
      <c r="F89" t="s">
        <v>38</v>
      </c>
      <c r="G89">
        <v>0.25</v>
      </c>
    </row>
    <row r="90" spans="1:7" x14ac:dyDescent="0.3">
      <c r="A90" t="s">
        <v>158</v>
      </c>
      <c r="C90" t="s">
        <v>145</v>
      </c>
      <c r="E90">
        <v>2015</v>
      </c>
      <c r="F90" t="s">
        <v>38</v>
      </c>
      <c r="G90">
        <v>9.9999999999999978E-2</v>
      </c>
    </row>
    <row r="91" spans="1:7" x14ac:dyDescent="0.3">
      <c r="A91" t="s">
        <v>163</v>
      </c>
      <c r="C91" t="s">
        <v>145</v>
      </c>
      <c r="F91" t="s">
        <v>29</v>
      </c>
      <c r="G91" t="s">
        <v>152</v>
      </c>
    </row>
    <row r="92" spans="1:7" x14ac:dyDescent="0.3">
      <c r="A92" t="s">
        <v>166</v>
      </c>
      <c r="C92" t="s">
        <v>145</v>
      </c>
      <c r="F92" t="s">
        <v>29</v>
      </c>
      <c r="G92" t="s">
        <v>153</v>
      </c>
    </row>
    <row r="93" spans="1:7" x14ac:dyDescent="0.3">
      <c r="A93" t="s">
        <v>157</v>
      </c>
      <c r="C93" t="s">
        <v>145</v>
      </c>
      <c r="F93" t="s">
        <v>29</v>
      </c>
      <c r="G93" t="s">
        <v>152</v>
      </c>
    </row>
    <row r="94" spans="1:7" x14ac:dyDescent="0.3">
      <c r="A94" t="s">
        <v>158</v>
      </c>
      <c r="C94" t="s">
        <v>145</v>
      </c>
      <c r="F94" t="s">
        <v>29</v>
      </c>
      <c r="G94" t="s">
        <v>153</v>
      </c>
    </row>
    <row r="95" spans="1:7" x14ac:dyDescent="0.3">
      <c r="A95" t="s">
        <v>171</v>
      </c>
      <c r="C95" t="s">
        <v>145</v>
      </c>
      <c r="F95" t="s">
        <v>29</v>
      </c>
      <c r="G95" t="s">
        <v>168</v>
      </c>
    </row>
    <row r="96" spans="1:7" x14ac:dyDescent="0.3">
      <c r="A96" t="s">
        <v>171</v>
      </c>
      <c r="C96" t="s">
        <v>145</v>
      </c>
      <c r="F96" t="s">
        <v>86</v>
      </c>
      <c r="G96">
        <v>0.3</v>
      </c>
    </row>
    <row r="97" spans="1:7" x14ac:dyDescent="0.3">
      <c r="A97" t="s">
        <v>173</v>
      </c>
      <c r="C97" t="s">
        <v>145</v>
      </c>
      <c r="F97" t="s">
        <v>29</v>
      </c>
      <c r="G97" t="s">
        <v>169</v>
      </c>
    </row>
    <row r="98" spans="1:7" x14ac:dyDescent="0.3">
      <c r="A98" t="s">
        <v>173</v>
      </c>
      <c r="C98" t="s">
        <v>145</v>
      </c>
      <c r="F98" t="s">
        <v>86</v>
      </c>
      <c r="G98">
        <v>0.3</v>
      </c>
    </row>
    <row r="99" spans="1:7" x14ac:dyDescent="0.3">
      <c r="A99" t="s">
        <v>174</v>
      </c>
      <c r="C99" t="s">
        <v>145</v>
      </c>
      <c r="F99" t="s">
        <v>29</v>
      </c>
      <c r="G99" t="s">
        <v>168</v>
      </c>
    </row>
    <row r="100" spans="1:7" x14ac:dyDescent="0.3">
      <c r="A100" t="s">
        <v>174</v>
      </c>
      <c r="C100" t="s">
        <v>145</v>
      </c>
      <c r="E100">
        <v>2015</v>
      </c>
      <c r="F100" t="s">
        <v>86</v>
      </c>
      <c r="G100">
        <v>7.4999999999999997E-2</v>
      </c>
    </row>
    <row r="101" spans="1:7" x14ac:dyDescent="0.3">
      <c r="A101" t="s">
        <v>174</v>
      </c>
      <c r="C101" t="s">
        <v>145</v>
      </c>
      <c r="E101">
        <f>E100+1</f>
        <v>2016</v>
      </c>
      <c r="F101" t="s">
        <v>86</v>
      </c>
      <c r="G101">
        <v>7.4999999999999997E-2</v>
      </c>
    </row>
    <row r="102" spans="1:7" x14ac:dyDescent="0.3">
      <c r="A102" t="s">
        <v>174</v>
      </c>
      <c r="C102" t="s">
        <v>145</v>
      </c>
      <c r="E102">
        <f t="shared" ref="E102:E104" si="0">E101+1</f>
        <v>2017</v>
      </c>
      <c r="F102" t="s">
        <v>86</v>
      </c>
      <c r="G102">
        <v>7.4999999999999997E-2</v>
      </c>
    </row>
    <row r="103" spans="1:7" x14ac:dyDescent="0.3">
      <c r="A103" t="s">
        <v>174</v>
      </c>
      <c r="C103" t="s">
        <v>145</v>
      </c>
      <c r="E103">
        <f t="shared" si="0"/>
        <v>2018</v>
      </c>
      <c r="F103" t="s">
        <v>86</v>
      </c>
      <c r="G103">
        <v>7.4999999999999997E-2</v>
      </c>
    </row>
    <row r="104" spans="1:7" x14ac:dyDescent="0.3">
      <c r="A104" t="s">
        <v>174</v>
      </c>
      <c r="C104" t="s">
        <v>145</v>
      </c>
      <c r="E104">
        <f t="shared" si="0"/>
        <v>2019</v>
      </c>
      <c r="F104" t="s">
        <v>86</v>
      </c>
      <c r="G104">
        <v>7.4999999999999997E-2</v>
      </c>
    </row>
    <row r="105" spans="1:7" x14ac:dyDescent="0.3">
      <c r="A105" t="s">
        <v>174</v>
      </c>
      <c r="C105" t="s">
        <v>145</v>
      </c>
      <c r="E105">
        <f t="shared" ref="E105:E110" si="1">E104+1</f>
        <v>2020</v>
      </c>
      <c r="F105" t="s">
        <v>86</v>
      </c>
      <c r="G105">
        <v>7.4999999999999997E-2</v>
      </c>
    </row>
    <row r="106" spans="1:7" x14ac:dyDescent="0.3">
      <c r="A106" t="s">
        <v>174</v>
      </c>
      <c r="C106" t="s">
        <v>145</v>
      </c>
      <c r="E106">
        <f t="shared" si="1"/>
        <v>2021</v>
      </c>
      <c r="F106" t="s">
        <v>86</v>
      </c>
      <c r="G106">
        <v>0.08</v>
      </c>
    </row>
    <row r="107" spans="1:7" x14ac:dyDescent="0.3">
      <c r="A107" t="s">
        <v>174</v>
      </c>
      <c r="C107" t="s">
        <v>145</v>
      </c>
      <c r="E107">
        <f t="shared" si="1"/>
        <v>2022</v>
      </c>
      <c r="F107" t="s">
        <v>86</v>
      </c>
      <c r="G107">
        <v>8.5000000000000006E-2</v>
      </c>
    </row>
    <row r="108" spans="1:7" x14ac:dyDescent="0.3">
      <c r="A108" t="s">
        <v>174</v>
      </c>
      <c r="C108" t="s">
        <v>145</v>
      </c>
      <c r="E108">
        <f t="shared" si="1"/>
        <v>2023</v>
      </c>
      <c r="F108" t="s">
        <v>86</v>
      </c>
      <c r="G108">
        <v>9.0000000000000011E-2</v>
      </c>
    </row>
    <row r="109" spans="1:7" x14ac:dyDescent="0.3">
      <c r="A109" t="s">
        <v>174</v>
      </c>
      <c r="C109" t="s">
        <v>145</v>
      </c>
      <c r="E109">
        <f t="shared" si="1"/>
        <v>2024</v>
      </c>
      <c r="F109" t="s">
        <v>86</v>
      </c>
      <c r="G109">
        <v>9.5000000000000015E-2</v>
      </c>
    </row>
    <row r="110" spans="1:7" x14ac:dyDescent="0.3">
      <c r="A110" t="s">
        <v>174</v>
      </c>
      <c r="C110" t="s">
        <v>145</v>
      </c>
      <c r="E110">
        <f t="shared" si="1"/>
        <v>2025</v>
      </c>
      <c r="F110" t="s">
        <v>86</v>
      </c>
      <c r="G110">
        <v>0.1</v>
      </c>
    </row>
    <row r="111" spans="1:7" x14ac:dyDescent="0.3">
      <c r="A111" t="s">
        <v>174</v>
      </c>
      <c r="C111" t="s">
        <v>145</v>
      </c>
      <c r="E111">
        <f t="shared" ref="E111:E115" si="2">E110+1</f>
        <v>2026</v>
      </c>
      <c r="F111" t="s">
        <v>86</v>
      </c>
      <c r="G111">
        <v>0.11</v>
      </c>
    </row>
    <row r="112" spans="1:7" x14ac:dyDescent="0.3">
      <c r="A112" t="s">
        <v>174</v>
      </c>
      <c r="C112" t="s">
        <v>145</v>
      </c>
      <c r="E112">
        <f t="shared" si="2"/>
        <v>2027</v>
      </c>
      <c r="F112" t="s">
        <v>86</v>
      </c>
      <c r="G112">
        <v>0.12</v>
      </c>
    </row>
    <row r="113" spans="1:7" x14ac:dyDescent="0.3">
      <c r="A113" t="s">
        <v>174</v>
      </c>
      <c r="C113" t="s">
        <v>145</v>
      </c>
      <c r="E113">
        <f t="shared" si="2"/>
        <v>2028</v>
      </c>
      <c r="F113" t="s">
        <v>86</v>
      </c>
      <c r="G113">
        <v>0.13</v>
      </c>
    </row>
    <row r="114" spans="1:7" x14ac:dyDescent="0.3">
      <c r="A114" t="s">
        <v>174</v>
      </c>
      <c r="C114" t="s">
        <v>145</v>
      </c>
      <c r="E114">
        <f t="shared" si="2"/>
        <v>2029</v>
      </c>
      <c r="F114" t="s">
        <v>86</v>
      </c>
      <c r="G114">
        <v>0.14000000000000001</v>
      </c>
    </row>
    <row r="115" spans="1:7" x14ac:dyDescent="0.3">
      <c r="A115" t="s">
        <v>174</v>
      </c>
      <c r="C115" t="s">
        <v>145</v>
      </c>
      <c r="E115">
        <f t="shared" si="2"/>
        <v>2030</v>
      </c>
      <c r="F115" t="s">
        <v>86</v>
      </c>
      <c r="G115">
        <v>0.15</v>
      </c>
    </row>
    <row r="116" spans="1:7" x14ac:dyDescent="0.3">
      <c r="A116" t="s">
        <v>174</v>
      </c>
      <c r="C116" t="s">
        <v>145</v>
      </c>
      <c r="F116" t="s">
        <v>86</v>
      </c>
      <c r="G116">
        <v>0.15</v>
      </c>
    </row>
    <row r="117" spans="1:7" x14ac:dyDescent="0.3">
      <c r="A117" t="s">
        <v>175</v>
      </c>
      <c r="C117" t="s">
        <v>145</v>
      </c>
      <c r="F117" t="s">
        <v>29</v>
      </c>
      <c r="G117" t="s">
        <v>169</v>
      </c>
    </row>
    <row r="118" spans="1:7" x14ac:dyDescent="0.3">
      <c r="A118" t="s">
        <v>175</v>
      </c>
      <c r="C118" t="s">
        <v>145</v>
      </c>
      <c r="E118">
        <v>2015</v>
      </c>
      <c r="F118" t="s">
        <v>86</v>
      </c>
      <c r="G118">
        <v>7.4999999999999997E-2</v>
      </c>
    </row>
    <row r="119" spans="1:7" x14ac:dyDescent="0.3">
      <c r="A119" t="s">
        <v>175</v>
      </c>
      <c r="C119" t="s">
        <v>145</v>
      </c>
      <c r="E119">
        <f>E118+1</f>
        <v>2016</v>
      </c>
      <c r="F119" t="s">
        <v>86</v>
      </c>
      <c r="G119">
        <v>7.4999999999999997E-2</v>
      </c>
    </row>
    <row r="120" spans="1:7" x14ac:dyDescent="0.3">
      <c r="A120" t="s">
        <v>175</v>
      </c>
      <c r="C120" t="s">
        <v>145</v>
      </c>
      <c r="E120">
        <f t="shared" ref="E120:E133" si="3">E119+1</f>
        <v>2017</v>
      </c>
      <c r="F120" t="s">
        <v>86</v>
      </c>
      <c r="G120">
        <v>7.4999999999999997E-2</v>
      </c>
    </row>
    <row r="121" spans="1:7" x14ac:dyDescent="0.3">
      <c r="A121" t="s">
        <v>175</v>
      </c>
      <c r="C121" t="s">
        <v>145</v>
      </c>
      <c r="E121">
        <f t="shared" si="3"/>
        <v>2018</v>
      </c>
      <c r="F121" t="s">
        <v>86</v>
      </c>
      <c r="G121">
        <v>7.4999999999999997E-2</v>
      </c>
    </row>
    <row r="122" spans="1:7" x14ac:dyDescent="0.3">
      <c r="A122" t="s">
        <v>175</v>
      </c>
      <c r="C122" t="s">
        <v>145</v>
      </c>
      <c r="E122">
        <f t="shared" si="3"/>
        <v>2019</v>
      </c>
      <c r="F122" t="s">
        <v>86</v>
      </c>
      <c r="G122">
        <v>7.4999999999999997E-2</v>
      </c>
    </row>
    <row r="123" spans="1:7" x14ac:dyDescent="0.3">
      <c r="A123" t="s">
        <v>175</v>
      </c>
      <c r="C123" t="s">
        <v>145</v>
      </c>
      <c r="E123">
        <f t="shared" si="3"/>
        <v>2020</v>
      </c>
      <c r="F123" t="s">
        <v>86</v>
      </c>
      <c r="G123">
        <v>7.4999999999999997E-2</v>
      </c>
    </row>
    <row r="124" spans="1:7" x14ac:dyDescent="0.3">
      <c r="A124" t="s">
        <v>175</v>
      </c>
      <c r="C124" t="s">
        <v>145</v>
      </c>
      <c r="E124">
        <f t="shared" si="3"/>
        <v>2021</v>
      </c>
      <c r="F124" t="s">
        <v>86</v>
      </c>
      <c r="G124">
        <v>0.08</v>
      </c>
    </row>
    <row r="125" spans="1:7" x14ac:dyDescent="0.3">
      <c r="A125" t="s">
        <v>175</v>
      </c>
      <c r="C125" t="s">
        <v>145</v>
      </c>
      <c r="E125">
        <f t="shared" si="3"/>
        <v>2022</v>
      </c>
      <c r="F125" t="s">
        <v>86</v>
      </c>
      <c r="G125">
        <v>8.5000000000000006E-2</v>
      </c>
    </row>
    <row r="126" spans="1:7" x14ac:dyDescent="0.3">
      <c r="A126" t="s">
        <v>175</v>
      </c>
      <c r="C126" t="s">
        <v>145</v>
      </c>
      <c r="E126">
        <f t="shared" si="3"/>
        <v>2023</v>
      </c>
      <c r="F126" t="s">
        <v>86</v>
      </c>
      <c r="G126">
        <v>9.0000000000000011E-2</v>
      </c>
    </row>
    <row r="127" spans="1:7" x14ac:dyDescent="0.3">
      <c r="A127" t="s">
        <v>175</v>
      </c>
      <c r="C127" t="s">
        <v>145</v>
      </c>
      <c r="E127">
        <f t="shared" si="3"/>
        <v>2024</v>
      </c>
      <c r="F127" t="s">
        <v>86</v>
      </c>
      <c r="G127">
        <v>9.5000000000000015E-2</v>
      </c>
    </row>
    <row r="128" spans="1:7" x14ac:dyDescent="0.3">
      <c r="A128" t="s">
        <v>175</v>
      </c>
      <c r="C128" t="s">
        <v>145</v>
      </c>
      <c r="E128">
        <f t="shared" si="3"/>
        <v>2025</v>
      </c>
      <c r="F128" t="s">
        <v>86</v>
      </c>
      <c r="G128">
        <v>0.1</v>
      </c>
    </row>
    <row r="129" spans="1:7" x14ac:dyDescent="0.3">
      <c r="A129" t="s">
        <v>175</v>
      </c>
      <c r="C129" t="s">
        <v>145</v>
      </c>
      <c r="E129">
        <f t="shared" si="3"/>
        <v>2026</v>
      </c>
      <c r="F129" t="s">
        <v>86</v>
      </c>
      <c r="G129">
        <v>0.11</v>
      </c>
    </row>
    <row r="130" spans="1:7" x14ac:dyDescent="0.3">
      <c r="A130" t="s">
        <v>175</v>
      </c>
      <c r="C130" t="s">
        <v>145</v>
      </c>
      <c r="E130">
        <f t="shared" si="3"/>
        <v>2027</v>
      </c>
      <c r="F130" t="s">
        <v>86</v>
      </c>
      <c r="G130">
        <v>0.12</v>
      </c>
    </row>
    <row r="131" spans="1:7" x14ac:dyDescent="0.3">
      <c r="A131" t="s">
        <v>175</v>
      </c>
      <c r="C131" t="s">
        <v>145</v>
      </c>
      <c r="E131">
        <f t="shared" si="3"/>
        <v>2028</v>
      </c>
      <c r="F131" t="s">
        <v>86</v>
      </c>
      <c r="G131">
        <v>0.13</v>
      </c>
    </row>
    <row r="132" spans="1:7" x14ac:dyDescent="0.3">
      <c r="A132" t="s">
        <v>175</v>
      </c>
      <c r="C132" t="s">
        <v>145</v>
      </c>
      <c r="E132">
        <f t="shared" si="3"/>
        <v>2029</v>
      </c>
      <c r="F132" t="s">
        <v>86</v>
      </c>
      <c r="G132">
        <v>0.14000000000000001</v>
      </c>
    </row>
    <row r="133" spans="1:7" x14ac:dyDescent="0.3">
      <c r="A133" t="s">
        <v>175</v>
      </c>
      <c r="C133" t="s">
        <v>145</v>
      </c>
      <c r="E133">
        <f t="shared" si="3"/>
        <v>2030</v>
      </c>
      <c r="F133" t="s">
        <v>86</v>
      </c>
      <c r="G133">
        <v>0.15</v>
      </c>
    </row>
    <row r="134" spans="1:7" x14ac:dyDescent="0.3">
      <c r="A134" t="s">
        <v>175</v>
      </c>
      <c r="C134" t="s">
        <v>145</v>
      </c>
      <c r="F134" t="s">
        <v>86</v>
      </c>
      <c r="G134">
        <v>0.15</v>
      </c>
    </row>
    <row r="135" spans="1:7" x14ac:dyDescent="0.3">
      <c r="A135" s="33" t="s">
        <v>177</v>
      </c>
      <c r="B135" s="33"/>
      <c r="C135" s="33" t="s">
        <v>145</v>
      </c>
      <c r="D135" s="33"/>
      <c r="E135" s="33">
        <v>2050</v>
      </c>
      <c r="F135" s="33" t="s">
        <v>38</v>
      </c>
      <c r="G135" s="33">
        <v>0</v>
      </c>
    </row>
    <row r="136" spans="1:7" x14ac:dyDescent="0.3">
      <c r="A136" s="33" t="s">
        <v>177</v>
      </c>
      <c r="B136" s="33"/>
      <c r="C136" s="33" t="s">
        <v>145</v>
      </c>
      <c r="D136" s="33"/>
      <c r="E136" s="33">
        <v>2050</v>
      </c>
      <c r="F136" s="33" t="s">
        <v>29</v>
      </c>
      <c r="G136" s="33" t="s">
        <v>153</v>
      </c>
    </row>
    <row r="137" spans="1:7" x14ac:dyDescent="0.3">
      <c r="A137" s="33" t="s">
        <v>179</v>
      </c>
      <c r="B137" s="33"/>
      <c r="C137" s="33" t="s">
        <v>145</v>
      </c>
      <c r="D137" s="33"/>
      <c r="E137" s="33">
        <v>2050</v>
      </c>
      <c r="F137" s="33" t="s">
        <v>38</v>
      </c>
      <c r="G137" s="33">
        <v>0</v>
      </c>
    </row>
    <row r="138" spans="1:7" x14ac:dyDescent="0.3">
      <c r="A138" s="33" t="s">
        <v>179</v>
      </c>
      <c r="B138" s="33"/>
      <c r="C138" s="33" t="s">
        <v>145</v>
      </c>
      <c r="D138" s="33"/>
      <c r="E138" s="33">
        <v>2050</v>
      </c>
      <c r="F138" s="33" t="s">
        <v>29</v>
      </c>
      <c r="G138" s="33" t="s">
        <v>152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26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5" sqref="L15"/>
    </sheetView>
  </sheetViews>
  <sheetFormatPr baseColWidth="10" defaultRowHeight="14.4" x14ac:dyDescent="0.3"/>
  <cols>
    <col min="1" max="1" width="50.109375" customWidth="1"/>
    <col min="2" max="2" width="25" bestFit="1" customWidth="1"/>
    <col min="3" max="4" width="16.109375" customWidth="1"/>
    <col min="5" max="5" width="12" bestFit="1" customWidth="1"/>
    <col min="7" max="7" width="12.6640625" bestFit="1" customWidth="1"/>
    <col min="9" max="10" width="17.33203125" bestFit="1" customWidth="1"/>
    <col min="13" max="17" width="11.44140625" customWidth="1"/>
    <col min="18" max="18" width="15.6640625" customWidth="1"/>
    <col min="19" max="19" width="13.44140625" customWidth="1"/>
    <col min="20" max="20" width="15.5546875" customWidth="1"/>
    <col min="21" max="25" width="11.44140625" customWidth="1"/>
    <col min="26" max="26" width="13" bestFit="1" customWidth="1"/>
    <col min="27" max="27" width="11.44140625" customWidth="1"/>
    <col min="29" max="29" width="13.44140625" customWidth="1"/>
    <col min="30" max="39" width="11.44140625" customWidth="1"/>
    <col min="41" max="42" width="18.6640625" customWidth="1"/>
    <col min="43" max="43" width="16.109375" bestFit="1" customWidth="1"/>
    <col min="44" max="44" width="10.6640625" bestFit="1" customWidth="1"/>
    <col min="45" max="45" width="17.5546875" bestFit="1" customWidth="1"/>
    <col min="46" max="46" width="11.88671875" bestFit="1" customWidth="1"/>
    <col min="47" max="47" width="16" bestFit="1" customWidth="1"/>
  </cols>
  <sheetData>
    <row r="1" spans="1:48" ht="15.6" x14ac:dyDescent="0.3">
      <c r="A1" s="36" t="s">
        <v>14</v>
      </c>
      <c r="B1" s="36" t="s">
        <v>15</v>
      </c>
      <c r="C1" s="36" t="s">
        <v>44</v>
      </c>
      <c r="D1" s="36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93</v>
      </c>
      <c r="J1" s="2" t="s">
        <v>94</v>
      </c>
      <c r="K1" s="2" t="s">
        <v>9</v>
      </c>
      <c r="L1" s="2" t="s">
        <v>11</v>
      </c>
      <c r="M1" s="2" t="s">
        <v>26</v>
      </c>
      <c r="N1" s="2" t="s">
        <v>56</v>
      </c>
      <c r="O1" s="2" t="s">
        <v>54</v>
      </c>
      <c r="P1" s="21" t="s">
        <v>53</v>
      </c>
      <c r="Q1" s="21" t="s">
        <v>182</v>
      </c>
      <c r="R1" s="21" t="s">
        <v>143</v>
      </c>
      <c r="S1" s="3" t="s">
        <v>12</v>
      </c>
      <c r="T1" s="3" t="s">
        <v>17</v>
      </c>
      <c r="U1" s="4" t="s">
        <v>37</v>
      </c>
      <c r="V1" s="4" t="s">
        <v>16</v>
      </c>
      <c r="W1" s="5" t="s">
        <v>20</v>
      </c>
      <c r="X1" s="5" t="s">
        <v>22</v>
      </c>
      <c r="Y1" s="16" t="s">
        <v>55</v>
      </c>
      <c r="Z1" s="16" t="s">
        <v>131</v>
      </c>
      <c r="AA1" s="24" t="s">
        <v>84</v>
      </c>
      <c r="AB1" s="24" t="s">
        <v>76</v>
      </c>
      <c r="AC1" s="24" t="s">
        <v>77</v>
      </c>
      <c r="AD1" s="24" t="s">
        <v>78</v>
      </c>
      <c r="AE1" s="24" t="s">
        <v>190</v>
      </c>
      <c r="AF1" s="24" t="s">
        <v>191</v>
      </c>
      <c r="AG1" s="24" t="s">
        <v>64</v>
      </c>
      <c r="AH1" s="24" t="s">
        <v>65</v>
      </c>
      <c r="AI1" s="24" t="s">
        <v>79</v>
      </c>
      <c r="AJ1" s="24" t="s">
        <v>185</v>
      </c>
      <c r="AK1" s="24" t="s">
        <v>189</v>
      </c>
      <c r="AL1" s="24" t="s">
        <v>187</v>
      </c>
      <c r="AM1" s="24" t="s">
        <v>66</v>
      </c>
      <c r="AN1" s="38" t="s">
        <v>156</v>
      </c>
      <c r="AO1" s="38" t="s">
        <v>168</v>
      </c>
      <c r="AP1" s="38" t="s">
        <v>169</v>
      </c>
      <c r="AQ1" s="38" t="s">
        <v>150</v>
      </c>
      <c r="AR1" s="38" t="s">
        <v>151</v>
      </c>
      <c r="AS1" s="38" t="s">
        <v>152</v>
      </c>
      <c r="AT1" s="38" t="s">
        <v>153</v>
      </c>
      <c r="AU1" s="38" t="s">
        <v>154</v>
      </c>
      <c r="AV1" s="38" t="s">
        <v>155</v>
      </c>
    </row>
    <row r="2" spans="1:48" x14ac:dyDescent="0.3">
      <c r="A2" s="8" t="s">
        <v>27</v>
      </c>
      <c r="B2" s="8"/>
      <c r="C2" s="8"/>
      <c r="D2" s="8">
        <v>2025</v>
      </c>
      <c r="K2">
        <v>-1</v>
      </c>
      <c r="Z2">
        <v>0.185</v>
      </c>
    </row>
    <row r="3" spans="1:48" x14ac:dyDescent="0.3">
      <c r="A3" s="8" t="s">
        <v>28</v>
      </c>
      <c r="B3" s="8"/>
      <c r="C3" s="8"/>
      <c r="D3" s="8">
        <v>2040</v>
      </c>
      <c r="H3">
        <v>0.38100000000000001</v>
      </c>
      <c r="K3">
        <v>-1</v>
      </c>
      <c r="L3">
        <v>1.3</v>
      </c>
      <c r="Z3">
        <v>2.75</v>
      </c>
    </row>
    <row r="4" spans="1:48" x14ac:dyDescent="0.3">
      <c r="A4" s="22" t="s">
        <v>57</v>
      </c>
      <c r="B4" s="8"/>
      <c r="C4" s="8" t="s">
        <v>99</v>
      </c>
      <c r="D4" s="8"/>
      <c r="G4">
        <v>1.0029999999999999</v>
      </c>
      <c r="H4">
        <v>0.25</v>
      </c>
      <c r="K4">
        <v>3.2000000000000001E-2</v>
      </c>
      <c r="N4">
        <v>-1</v>
      </c>
      <c r="Z4">
        <v>-0.629</v>
      </c>
    </row>
    <row r="5" spans="1:48" x14ac:dyDescent="0.3">
      <c r="A5" s="8" t="s">
        <v>58</v>
      </c>
      <c r="B5" s="8"/>
      <c r="C5" s="8"/>
      <c r="D5" s="8">
        <v>2020</v>
      </c>
      <c r="H5">
        <v>0.42099999999999999</v>
      </c>
      <c r="X5" s="17"/>
      <c r="Y5">
        <v>-1</v>
      </c>
    </row>
    <row r="6" spans="1:48" x14ac:dyDescent="0.3">
      <c r="A6" s="8" t="s">
        <v>59</v>
      </c>
      <c r="B6" s="8"/>
      <c r="C6" s="8"/>
      <c r="D6" s="8">
        <v>2020</v>
      </c>
      <c r="H6">
        <v>0.22500000000000001</v>
      </c>
      <c r="X6" s="17">
        <v>-1</v>
      </c>
    </row>
    <row r="7" spans="1:48" x14ac:dyDescent="0.3">
      <c r="A7" s="9" t="s">
        <v>18</v>
      </c>
      <c r="B7" s="9" t="s">
        <v>95</v>
      </c>
      <c r="C7" s="9"/>
      <c r="D7" s="9">
        <v>2020</v>
      </c>
      <c r="H7">
        <v>53</v>
      </c>
      <c r="L7">
        <v>-1</v>
      </c>
      <c r="X7" s="17">
        <v>-8</v>
      </c>
    </row>
    <row r="8" spans="1:48" x14ac:dyDescent="0.3">
      <c r="A8" s="9" t="s">
        <v>18</v>
      </c>
      <c r="B8" s="9" t="s">
        <v>95</v>
      </c>
      <c r="C8" s="9"/>
      <c r="D8" s="9">
        <v>2030</v>
      </c>
      <c r="H8">
        <v>53</v>
      </c>
      <c r="L8">
        <v>-1</v>
      </c>
      <c r="X8" s="17">
        <v>-8</v>
      </c>
    </row>
    <row r="9" spans="1:48" x14ac:dyDescent="0.3">
      <c r="A9" s="9" t="s">
        <v>18</v>
      </c>
      <c r="B9" s="9" t="s">
        <v>95</v>
      </c>
      <c r="C9" s="9"/>
      <c r="D9" s="9">
        <v>2050</v>
      </c>
      <c r="H9">
        <v>45</v>
      </c>
      <c r="L9">
        <v>-1</v>
      </c>
      <c r="X9" s="17">
        <v>-8</v>
      </c>
    </row>
    <row r="10" spans="1:48" x14ac:dyDescent="0.3">
      <c r="A10" s="9" t="s">
        <v>18</v>
      </c>
      <c r="B10" s="9" t="s">
        <v>96</v>
      </c>
      <c r="C10" s="9"/>
      <c r="D10" s="9">
        <v>2030</v>
      </c>
      <c r="I10">
        <v>53</v>
      </c>
      <c r="L10">
        <v>-1</v>
      </c>
      <c r="X10" s="17">
        <v>-8</v>
      </c>
    </row>
    <row r="11" spans="1:48" x14ac:dyDescent="0.3">
      <c r="A11" s="9" t="s">
        <v>18</v>
      </c>
      <c r="B11" s="9" t="s">
        <v>96</v>
      </c>
      <c r="C11" s="9"/>
      <c r="D11" s="9">
        <v>2050</v>
      </c>
      <c r="I11">
        <v>45</v>
      </c>
      <c r="L11">
        <v>-1</v>
      </c>
      <c r="X11" s="17">
        <v>-8</v>
      </c>
    </row>
    <row r="12" spans="1:48" x14ac:dyDescent="0.3">
      <c r="A12" s="9" t="s">
        <v>18</v>
      </c>
      <c r="B12" s="9" t="s">
        <v>97</v>
      </c>
      <c r="C12" s="9"/>
      <c r="D12" s="9">
        <v>2030</v>
      </c>
      <c r="J12">
        <v>53</v>
      </c>
      <c r="L12">
        <v>-1</v>
      </c>
      <c r="X12" s="17">
        <v>-8</v>
      </c>
    </row>
    <row r="13" spans="1:48" x14ac:dyDescent="0.3">
      <c r="A13" s="9" t="s">
        <v>18</v>
      </c>
      <c r="B13" s="9" t="s">
        <v>97</v>
      </c>
      <c r="C13" s="9"/>
      <c r="D13" s="9">
        <v>2050</v>
      </c>
      <c r="J13">
        <v>45</v>
      </c>
      <c r="L13">
        <v>-1</v>
      </c>
      <c r="X13" s="17">
        <v>-8</v>
      </c>
    </row>
    <row r="14" spans="1:48" x14ac:dyDescent="0.3">
      <c r="A14" s="9" t="s">
        <v>19</v>
      </c>
      <c r="B14" s="9"/>
      <c r="C14" s="9"/>
      <c r="D14" s="9"/>
      <c r="K14">
        <v>3.03</v>
      </c>
      <c r="L14">
        <v>-1</v>
      </c>
      <c r="X14" s="17"/>
      <c r="Z14" s="18">
        <f>-8.22</f>
        <v>-8.2200000000000006</v>
      </c>
      <c r="AA14" s="18"/>
    </row>
    <row r="15" spans="1:48" x14ac:dyDescent="0.3">
      <c r="A15" s="9" t="s">
        <v>21</v>
      </c>
      <c r="B15" s="9"/>
      <c r="C15" s="9"/>
      <c r="D15" s="9">
        <v>2030</v>
      </c>
      <c r="H15">
        <v>14.62</v>
      </c>
      <c r="K15">
        <f>2.7-0.68</f>
        <v>2.02</v>
      </c>
      <c r="L15">
        <v>-1</v>
      </c>
      <c r="X15" s="17"/>
      <c r="Z15" s="19">
        <f>-5.15-0.26*44/28</f>
        <v>-5.5585714285714287</v>
      </c>
      <c r="AA15" s="19"/>
    </row>
    <row r="16" spans="1:48" x14ac:dyDescent="0.3">
      <c r="A16" s="9" t="s">
        <v>21</v>
      </c>
      <c r="B16" s="9" t="s">
        <v>96</v>
      </c>
      <c r="C16" s="9"/>
      <c r="D16" s="9">
        <v>2030</v>
      </c>
      <c r="I16">
        <v>14.62</v>
      </c>
      <c r="K16">
        <f>2.7-0.68</f>
        <v>2.02</v>
      </c>
      <c r="L16">
        <v>-1</v>
      </c>
      <c r="X16" s="17"/>
      <c r="Z16" s="19">
        <f>-5.15-0.26*44/28</f>
        <v>-5.5585714285714287</v>
      </c>
      <c r="AA16" s="19"/>
    </row>
    <row r="17" spans="1:33" x14ac:dyDescent="0.3">
      <c r="A17" s="9" t="s">
        <v>21</v>
      </c>
      <c r="B17" s="9" t="s">
        <v>97</v>
      </c>
      <c r="C17" s="9"/>
      <c r="D17" s="9">
        <v>2030</v>
      </c>
      <c r="J17">
        <v>14.62</v>
      </c>
      <c r="K17">
        <f>2.7-0.68</f>
        <v>2.02</v>
      </c>
      <c r="L17">
        <v>-1</v>
      </c>
      <c r="X17" s="17"/>
      <c r="Z17" s="19">
        <f>-5.15-0.26*44/28</f>
        <v>-5.5585714285714287</v>
      </c>
      <c r="AA17" s="19"/>
    </row>
    <row r="18" spans="1:33" x14ac:dyDescent="0.3">
      <c r="A18" s="9" t="s">
        <v>41</v>
      </c>
      <c r="B18" s="9"/>
      <c r="C18" s="9"/>
      <c r="D18" s="9">
        <v>2025</v>
      </c>
      <c r="F18">
        <v>10.4</v>
      </c>
      <c r="H18">
        <v>3.5</v>
      </c>
      <c r="K18">
        <v>-1.29</v>
      </c>
      <c r="L18">
        <v>-1</v>
      </c>
      <c r="M18">
        <v>0.4</v>
      </c>
      <c r="X18" s="17"/>
      <c r="Z18">
        <v>-6.47</v>
      </c>
    </row>
    <row r="19" spans="1:33" x14ac:dyDescent="0.3">
      <c r="A19" s="9" t="s">
        <v>34</v>
      </c>
      <c r="B19" s="9"/>
      <c r="C19" s="9"/>
      <c r="D19" s="9">
        <v>2040</v>
      </c>
      <c r="H19">
        <v>13.9</v>
      </c>
      <c r="K19">
        <v>4.7300000000000004</v>
      </c>
      <c r="L19">
        <v>-1</v>
      </c>
      <c r="X19" s="17"/>
      <c r="Z19">
        <f>-0.01*4.73*25</f>
        <v>-1.1825000000000001</v>
      </c>
    </row>
    <row r="20" spans="1:33" x14ac:dyDescent="0.3">
      <c r="A20" s="23" t="s">
        <v>68</v>
      </c>
      <c r="B20" s="23"/>
      <c r="C20" s="23" t="s">
        <v>67</v>
      </c>
      <c r="D20" s="23">
        <v>2015</v>
      </c>
      <c r="R20">
        <f>4*0.27777</f>
        <v>1.1110800000000001</v>
      </c>
      <c r="X20" s="17"/>
      <c r="Z20">
        <f>-0.557</f>
        <v>-0.55700000000000005</v>
      </c>
      <c r="AB20">
        <v>1.6</v>
      </c>
      <c r="AD20">
        <v>-1</v>
      </c>
    </row>
    <row r="21" spans="1:33" x14ac:dyDescent="0.3">
      <c r="A21" s="23" t="s">
        <v>68</v>
      </c>
      <c r="B21" s="23"/>
      <c r="C21" s="23" t="s">
        <v>67</v>
      </c>
      <c r="D21" s="23">
        <v>2035</v>
      </c>
      <c r="R21">
        <f>4*0.27777</f>
        <v>1.1110800000000001</v>
      </c>
      <c r="X21" s="17"/>
      <c r="Z21">
        <f>-0.557</f>
        <v>-0.55700000000000005</v>
      </c>
      <c r="AB21">
        <v>1.6</v>
      </c>
      <c r="AD21">
        <v>-1</v>
      </c>
    </row>
    <row r="22" spans="1:33" x14ac:dyDescent="0.3">
      <c r="A22" s="23" t="s">
        <v>68</v>
      </c>
      <c r="B22" s="23"/>
      <c r="C22" s="23" t="s">
        <v>67</v>
      </c>
      <c r="D22" s="23">
        <v>2036</v>
      </c>
      <c r="R22">
        <v>0</v>
      </c>
      <c r="X22" s="17"/>
      <c r="AD22">
        <v>0</v>
      </c>
    </row>
    <row r="23" spans="1:33" x14ac:dyDescent="0.3">
      <c r="A23" s="23" t="s">
        <v>69</v>
      </c>
      <c r="B23" s="23"/>
      <c r="C23" s="23" t="s">
        <v>67</v>
      </c>
      <c r="D23" s="23"/>
      <c r="R23">
        <f>3.664*0.27777</f>
        <v>1.0177492800000001</v>
      </c>
      <c r="X23" s="17"/>
      <c r="Z23">
        <f t="shared" ref="Z23:Z26" si="0">-0.557</f>
        <v>-0.55700000000000005</v>
      </c>
      <c r="AB23">
        <v>1.6</v>
      </c>
      <c r="AD23">
        <v>-1</v>
      </c>
    </row>
    <row r="24" spans="1:33" x14ac:dyDescent="0.3">
      <c r="A24" s="23" t="s">
        <v>70</v>
      </c>
      <c r="B24" s="23"/>
      <c r="C24" s="23" t="s">
        <v>67</v>
      </c>
      <c r="D24" s="23"/>
      <c r="R24">
        <f>3.541*0.27777</f>
        <v>0.98358357000000007</v>
      </c>
      <c r="X24" s="17"/>
      <c r="Z24">
        <f t="shared" si="0"/>
        <v>-0.55700000000000005</v>
      </c>
      <c r="AB24">
        <v>1.6</v>
      </c>
      <c r="AD24">
        <v>-1</v>
      </c>
    </row>
    <row r="25" spans="1:33" x14ac:dyDescent="0.3">
      <c r="A25" s="23" t="s">
        <v>80</v>
      </c>
      <c r="B25" s="23"/>
      <c r="C25" s="23" t="s">
        <v>67</v>
      </c>
      <c r="D25" s="23">
        <v>2035</v>
      </c>
      <c r="H25">
        <f>0.278*3.664</f>
        <v>1.0185920000000002</v>
      </c>
      <c r="X25" s="17"/>
      <c r="Z25">
        <f t="shared" si="0"/>
        <v>-0.55700000000000005</v>
      </c>
      <c r="AB25">
        <v>1.6</v>
      </c>
      <c r="AD25">
        <v>-1</v>
      </c>
    </row>
    <row r="26" spans="1:33" x14ac:dyDescent="0.3">
      <c r="A26" s="23" t="s">
        <v>81</v>
      </c>
      <c r="B26" s="23"/>
      <c r="C26" s="23" t="s">
        <v>67</v>
      </c>
      <c r="D26" s="23">
        <v>2035</v>
      </c>
      <c r="H26">
        <f>0.278*3.541</f>
        <v>0.98439800000000011</v>
      </c>
      <c r="X26" s="17"/>
      <c r="Z26">
        <f t="shared" si="0"/>
        <v>-0.55700000000000005</v>
      </c>
      <c r="AB26">
        <v>1.6</v>
      </c>
      <c r="AD26">
        <v>-1</v>
      </c>
    </row>
    <row r="27" spans="1:33" x14ac:dyDescent="0.3">
      <c r="A27" s="23" t="s">
        <v>138</v>
      </c>
      <c r="B27" s="23"/>
      <c r="C27" s="23" t="s">
        <v>67</v>
      </c>
      <c r="D27" s="23"/>
      <c r="R27">
        <v>-1</v>
      </c>
      <c r="X27" s="17"/>
      <c r="Z27">
        <f>-0.035*AA27/0.059</f>
        <v>-0.12600035280098787</v>
      </c>
      <c r="AA27">
        <f>0.059/0.277777</f>
        <v>0.21240059472166523</v>
      </c>
    </row>
    <row r="28" spans="1:33" x14ac:dyDescent="0.3">
      <c r="A28" s="23" t="s">
        <v>139</v>
      </c>
      <c r="B28" s="23"/>
      <c r="C28" s="23" t="s">
        <v>67</v>
      </c>
      <c r="D28" s="23">
        <v>2025</v>
      </c>
      <c r="F28">
        <f>1/8.22</f>
        <v>0.121654501216545</v>
      </c>
      <c r="R28">
        <v>-1</v>
      </c>
      <c r="X28" s="17"/>
      <c r="Z28">
        <f>-0.035*F28/0.0352</f>
        <v>-0.12096328245963282</v>
      </c>
    </row>
    <row r="29" spans="1:33" x14ac:dyDescent="0.3">
      <c r="A29" s="23" t="s">
        <v>140</v>
      </c>
      <c r="B29" s="23"/>
      <c r="C29" s="23" t="s">
        <v>67</v>
      </c>
      <c r="D29" s="23"/>
      <c r="E29">
        <f>1/8.39</f>
        <v>0.11918951132300357</v>
      </c>
      <c r="R29">
        <v>-1</v>
      </c>
      <c r="X29" s="17"/>
      <c r="Z29">
        <f>-0.096*E29/0.0345</f>
        <v>-0.33165777063792296</v>
      </c>
    </row>
    <row r="30" spans="1:33" x14ac:dyDescent="0.3">
      <c r="A30" s="23" t="s">
        <v>141</v>
      </c>
      <c r="B30" s="23"/>
      <c r="C30" s="23" t="s">
        <v>67</v>
      </c>
      <c r="D30" s="23">
        <v>2020</v>
      </c>
      <c r="K30">
        <f>1/13.1</f>
        <v>7.6335877862595422E-2</v>
      </c>
      <c r="R30">
        <v>-1</v>
      </c>
      <c r="X30" s="17"/>
      <c r="Z30">
        <f>-0.054*K30/0.0212</f>
        <v>-0.19444044361227136</v>
      </c>
    </row>
    <row r="31" spans="1:33" x14ac:dyDescent="0.3">
      <c r="A31" s="23" t="s">
        <v>142</v>
      </c>
      <c r="B31" s="23"/>
      <c r="C31" s="23" t="s">
        <v>67</v>
      </c>
      <c r="D31" s="23">
        <v>2035</v>
      </c>
      <c r="L31">
        <f>1/33.3</f>
        <v>3.0030030030030033E-2</v>
      </c>
      <c r="R31">
        <v>-1</v>
      </c>
      <c r="X31" s="17"/>
      <c r="Z31">
        <v>0</v>
      </c>
    </row>
    <row r="32" spans="1:33" x14ac:dyDescent="0.3">
      <c r="A32" s="23" t="s">
        <v>71</v>
      </c>
      <c r="B32" s="23"/>
      <c r="C32" s="23" t="s">
        <v>67</v>
      </c>
      <c r="D32" s="23"/>
      <c r="H32">
        <v>4.4999999999999998E-2</v>
      </c>
      <c r="AD32">
        <v>0.95</v>
      </c>
      <c r="AG32">
        <v>-1</v>
      </c>
    </row>
    <row r="33" spans="1:39" x14ac:dyDescent="0.3">
      <c r="A33" s="23" t="s">
        <v>72</v>
      </c>
      <c r="B33" s="23"/>
      <c r="C33" s="23" t="s">
        <v>67</v>
      </c>
      <c r="D33" s="23"/>
      <c r="H33">
        <v>4.4999999999999998E-2</v>
      </c>
      <c r="AD33">
        <v>0.65</v>
      </c>
      <c r="AH33">
        <v>-1</v>
      </c>
    </row>
    <row r="34" spans="1:39" x14ac:dyDescent="0.3">
      <c r="A34" s="23" t="s">
        <v>73</v>
      </c>
      <c r="B34" s="23"/>
      <c r="C34" s="23" t="s">
        <v>67</v>
      </c>
      <c r="D34" s="23"/>
      <c r="H34">
        <v>4.4999999999999998E-2</v>
      </c>
      <c r="AD34">
        <v>0.5</v>
      </c>
      <c r="AI34">
        <v>-1</v>
      </c>
    </row>
    <row r="35" spans="1:39" x14ac:dyDescent="0.3">
      <c r="A35" s="23" t="s">
        <v>74</v>
      </c>
      <c r="B35" s="23"/>
      <c r="C35" s="23" t="s">
        <v>67</v>
      </c>
      <c r="D35" s="23"/>
      <c r="H35">
        <v>4.4999999999999998E-2</v>
      </c>
      <c r="AB35">
        <v>0.15</v>
      </c>
      <c r="AC35">
        <v>0.3</v>
      </c>
      <c r="AD35">
        <v>0.5</v>
      </c>
      <c r="AM35">
        <v>-1</v>
      </c>
    </row>
    <row r="36" spans="1:39" x14ac:dyDescent="0.3">
      <c r="A36" s="23" t="s">
        <v>75</v>
      </c>
      <c r="B36" s="23" t="s">
        <v>5</v>
      </c>
      <c r="C36" s="23" t="s">
        <v>67</v>
      </c>
      <c r="D36" s="23"/>
      <c r="E36">
        <v>8.8999999999999996E-2</v>
      </c>
      <c r="Z36">
        <v>-0.249</v>
      </c>
      <c r="AC36">
        <v>-1</v>
      </c>
    </row>
    <row r="37" spans="1:39" x14ac:dyDescent="0.3">
      <c r="A37" s="23" t="s">
        <v>75</v>
      </c>
      <c r="B37" s="23" t="s">
        <v>6</v>
      </c>
      <c r="C37" s="23" t="s">
        <v>67</v>
      </c>
      <c r="D37" s="23"/>
      <c r="F37">
        <v>9.0999999999999998E-2</v>
      </c>
      <c r="Z37">
        <v>-9.0999999999999998E-2</v>
      </c>
      <c r="AC37">
        <v>-1</v>
      </c>
    </row>
    <row r="38" spans="1:39" x14ac:dyDescent="0.3">
      <c r="A38" s="23" t="s">
        <v>75</v>
      </c>
      <c r="B38" s="23" t="s">
        <v>9</v>
      </c>
      <c r="C38" s="23" t="s">
        <v>67</v>
      </c>
      <c r="D38" s="23"/>
      <c r="H38">
        <v>0.72</v>
      </c>
      <c r="AC38">
        <v>-1</v>
      </c>
    </row>
    <row r="39" spans="1:39" x14ac:dyDescent="0.3">
      <c r="A39" s="23" t="s">
        <v>75</v>
      </c>
      <c r="B39" s="23" t="s">
        <v>11</v>
      </c>
      <c r="C39" s="23" t="s">
        <v>67</v>
      </c>
      <c r="D39" s="23"/>
      <c r="K39">
        <v>5.5E-2</v>
      </c>
      <c r="Z39">
        <v>-0.14000000000000001</v>
      </c>
      <c r="AC39">
        <v>-1</v>
      </c>
    </row>
    <row r="40" spans="1:39" x14ac:dyDescent="0.3">
      <c r="A40" s="23" t="s">
        <v>75</v>
      </c>
      <c r="B40" s="23" t="s">
        <v>8</v>
      </c>
      <c r="C40" s="23" t="s">
        <v>67</v>
      </c>
      <c r="D40" s="23"/>
      <c r="L40">
        <v>2.1600000000000001E-2</v>
      </c>
      <c r="AC40">
        <v>-1</v>
      </c>
    </row>
    <row r="41" spans="1:39" x14ac:dyDescent="0.3">
      <c r="A41" s="23" t="s">
        <v>196</v>
      </c>
      <c r="B41" s="23"/>
      <c r="C41" s="23" t="s">
        <v>67</v>
      </c>
      <c r="D41" s="23"/>
      <c r="H41">
        <v>4.4999999999999998E-2</v>
      </c>
      <c r="Z41">
        <v>0.05</v>
      </c>
      <c r="AJ41">
        <v>-1</v>
      </c>
    </row>
    <row r="42" spans="1:39" x14ac:dyDescent="0.3">
      <c r="A42" s="23" t="s">
        <v>186</v>
      </c>
      <c r="B42" s="23"/>
      <c r="C42" s="23" t="s">
        <v>67</v>
      </c>
      <c r="D42" s="23">
        <v>2030</v>
      </c>
      <c r="R42">
        <f>R24</f>
        <v>0.98358357000000007</v>
      </c>
      <c r="Z42">
        <v>-0.375</v>
      </c>
      <c r="AB42">
        <f>0.72*AB26</f>
        <v>1.1519999999999999</v>
      </c>
      <c r="AE42">
        <v>-1</v>
      </c>
    </row>
    <row r="43" spans="1:39" x14ac:dyDescent="0.3">
      <c r="A43" s="23" t="s">
        <v>192</v>
      </c>
      <c r="B43" s="23"/>
      <c r="C43" s="23" t="s">
        <v>67</v>
      </c>
      <c r="D43" s="23">
        <v>2030</v>
      </c>
      <c r="R43">
        <f>0.62*R24</f>
        <v>0.60982181340000008</v>
      </c>
      <c r="Z43">
        <v>-0.40899999999999997</v>
      </c>
      <c r="AB43">
        <f>0.7*AB26</f>
        <v>1.1199999999999999</v>
      </c>
      <c r="AF43">
        <v>-1</v>
      </c>
    </row>
    <row r="44" spans="1:39" x14ac:dyDescent="0.3">
      <c r="A44" s="23" t="s">
        <v>194</v>
      </c>
      <c r="B44" s="23"/>
      <c r="C44" s="23" t="s">
        <v>67</v>
      </c>
      <c r="D44" s="23">
        <v>2030</v>
      </c>
      <c r="H44">
        <f>H26</f>
        <v>0.98439800000000011</v>
      </c>
      <c r="Z44">
        <v>-0.375</v>
      </c>
      <c r="AB44">
        <f>0.72*AB26</f>
        <v>1.1519999999999999</v>
      </c>
      <c r="AE44">
        <v>-1</v>
      </c>
    </row>
    <row r="45" spans="1:39" x14ac:dyDescent="0.3">
      <c r="A45" s="23" t="s">
        <v>195</v>
      </c>
      <c r="B45" s="23"/>
      <c r="C45" s="23" t="s">
        <v>67</v>
      </c>
      <c r="D45" s="23">
        <v>2030</v>
      </c>
      <c r="H45">
        <f>H26*0.62</f>
        <v>0.61032676000000008</v>
      </c>
      <c r="Z45">
        <v>-0.40899999999999997</v>
      </c>
      <c r="AB45">
        <f>0.7*AB26</f>
        <v>1.1199999999999999</v>
      </c>
      <c r="AF45">
        <v>-1</v>
      </c>
    </row>
    <row r="46" spans="1:39" x14ac:dyDescent="0.3">
      <c r="A46" s="23" t="s">
        <v>188</v>
      </c>
      <c r="B46" s="23"/>
      <c r="C46" s="23" t="s">
        <v>67</v>
      </c>
      <c r="D46" s="23">
        <v>2030</v>
      </c>
      <c r="H46">
        <v>4.4999999999999998E-2</v>
      </c>
      <c r="Z46">
        <f>0.3*AE46</f>
        <v>0.222</v>
      </c>
      <c r="AE46">
        <v>0.74</v>
      </c>
      <c r="AK46">
        <v>-1</v>
      </c>
    </row>
    <row r="47" spans="1:39" x14ac:dyDescent="0.3">
      <c r="A47" s="23" t="s">
        <v>188</v>
      </c>
      <c r="B47" s="23"/>
      <c r="C47" s="23" t="s">
        <v>67</v>
      </c>
      <c r="D47" s="23">
        <v>2050</v>
      </c>
      <c r="H47">
        <v>4.4999999999999998E-2</v>
      </c>
      <c r="Z47">
        <f>0.3*AE47</f>
        <v>0.19500000000000001</v>
      </c>
      <c r="AE47">
        <v>0.65</v>
      </c>
      <c r="AK47">
        <v>-1</v>
      </c>
    </row>
    <row r="48" spans="1:39" x14ac:dyDescent="0.3">
      <c r="A48" s="23" t="s">
        <v>193</v>
      </c>
      <c r="B48" s="23"/>
      <c r="C48" s="23" t="s">
        <v>67</v>
      </c>
      <c r="D48" s="23">
        <v>2030</v>
      </c>
      <c r="H48">
        <v>4.4999999999999998E-2</v>
      </c>
      <c r="AL48">
        <v>-1</v>
      </c>
    </row>
    <row r="49" spans="1:38" x14ac:dyDescent="0.3">
      <c r="A49" s="23" t="s">
        <v>193</v>
      </c>
      <c r="B49" s="23"/>
      <c r="C49" s="23" t="s">
        <v>67</v>
      </c>
      <c r="D49" s="23">
        <v>2050</v>
      </c>
      <c r="H49">
        <v>4.4999999999999998E-2</v>
      </c>
      <c r="AL49">
        <v>-1</v>
      </c>
    </row>
    <row r="50" spans="1:38" x14ac:dyDescent="0.3">
      <c r="A50" s="30" t="s">
        <v>98</v>
      </c>
      <c r="B50" s="30"/>
      <c r="C50" s="30" t="s">
        <v>99</v>
      </c>
      <c r="D50" s="30">
        <v>2035</v>
      </c>
      <c r="F50">
        <v>3.42</v>
      </c>
      <c r="N50">
        <v>-1</v>
      </c>
      <c r="X50" s="17"/>
      <c r="Y50" s="17"/>
      <c r="Z50">
        <v>-5.59</v>
      </c>
    </row>
    <row r="51" spans="1:38" x14ac:dyDescent="0.3">
      <c r="A51" s="30" t="s">
        <v>100</v>
      </c>
      <c r="B51" s="30"/>
      <c r="C51" s="30" t="s">
        <v>99</v>
      </c>
      <c r="D51" s="30"/>
      <c r="H51">
        <f>0.21/1.55</f>
        <v>0.13548387096774192</v>
      </c>
      <c r="K51">
        <f>-0.057/1.55</f>
        <v>-3.6774193548387096E-2</v>
      </c>
      <c r="L51">
        <f>-0.032/1.55</f>
        <v>-2.0645161290322581E-2</v>
      </c>
      <c r="N51">
        <f>3.58/1.55</f>
        <v>2.3096774193548386</v>
      </c>
      <c r="O51">
        <v>-1</v>
      </c>
      <c r="X51" s="17"/>
      <c r="Y51" s="17"/>
      <c r="Z51">
        <f>-1.27/1.55</f>
        <v>-0.8193548387096774</v>
      </c>
    </row>
    <row r="52" spans="1:38" x14ac:dyDescent="0.3">
      <c r="A52" s="30" t="s">
        <v>101</v>
      </c>
      <c r="B52" s="30"/>
      <c r="C52" s="30" t="s">
        <v>99</v>
      </c>
      <c r="D52" s="39">
        <v>2030</v>
      </c>
      <c r="H52">
        <f>6.78/1.55</f>
        <v>4.3741935483870966</v>
      </c>
      <c r="K52">
        <f>-0.55/1.55</f>
        <v>-0.35483870967741937</v>
      </c>
      <c r="L52">
        <f>-0.032/1.55</f>
        <v>-2.0645161290322581E-2</v>
      </c>
      <c r="N52">
        <f>3.58/1.55</f>
        <v>2.3096774193548386</v>
      </c>
      <c r="O52">
        <v>-1</v>
      </c>
      <c r="X52" s="17"/>
      <c r="Y52" s="17"/>
      <c r="Z52">
        <f>-0.95/1.55</f>
        <v>-0.61290322580645151</v>
      </c>
    </row>
    <row r="53" spans="1:38" x14ac:dyDescent="0.3">
      <c r="A53" s="30" t="s">
        <v>101</v>
      </c>
      <c r="B53" s="30" t="s">
        <v>96</v>
      </c>
      <c r="C53" s="30" t="s">
        <v>99</v>
      </c>
      <c r="D53" s="39">
        <v>2030</v>
      </c>
      <c r="I53">
        <f>6.78/1.55</f>
        <v>4.3741935483870966</v>
      </c>
      <c r="K53">
        <f>-0.55/1.55</f>
        <v>-0.35483870967741937</v>
      </c>
      <c r="L53">
        <f>-0.032/1.55</f>
        <v>-2.0645161290322581E-2</v>
      </c>
      <c r="N53">
        <f>3.58/1.55</f>
        <v>2.3096774193548386</v>
      </c>
      <c r="O53">
        <v>-1</v>
      </c>
      <c r="X53" s="17"/>
      <c r="Y53" s="17"/>
      <c r="Z53">
        <f t="shared" ref="Z53:Z54" si="1">-0.95/1.55</f>
        <v>-0.61290322580645151</v>
      </c>
    </row>
    <row r="54" spans="1:38" x14ac:dyDescent="0.3">
      <c r="A54" s="30" t="s">
        <v>101</v>
      </c>
      <c r="B54" s="30" t="s">
        <v>97</v>
      </c>
      <c r="C54" s="30" t="s">
        <v>99</v>
      </c>
      <c r="D54" s="39">
        <v>2030</v>
      </c>
      <c r="J54">
        <f>6.78/1.55</f>
        <v>4.3741935483870966</v>
      </c>
      <c r="K54">
        <f>-0.55/1.55</f>
        <v>-0.35483870967741937</v>
      </c>
      <c r="L54">
        <f>-0.032/1.55</f>
        <v>-2.0645161290322581E-2</v>
      </c>
      <c r="N54">
        <f>3.58/1.55</f>
        <v>2.3096774193548386</v>
      </c>
      <c r="O54">
        <v>-1</v>
      </c>
      <c r="X54" s="17"/>
      <c r="Y54" s="17"/>
      <c r="Z54">
        <f t="shared" si="1"/>
        <v>-0.61290322580645151</v>
      </c>
    </row>
    <row r="55" spans="1:38" x14ac:dyDescent="0.3">
      <c r="A55" s="30" t="s">
        <v>102</v>
      </c>
      <c r="B55" s="30" t="s">
        <v>103</v>
      </c>
      <c r="C55" s="30" t="s">
        <v>99</v>
      </c>
      <c r="D55" s="30">
        <v>2035</v>
      </c>
      <c r="H55">
        <f>0.417+1.48*0.954/0.86</f>
        <v>2.0587674418604647</v>
      </c>
      <c r="M55">
        <f>2.57/0.86</f>
        <v>2.9883720930232558</v>
      </c>
      <c r="O55">
        <v>-1</v>
      </c>
      <c r="X55" s="17"/>
      <c r="Y55" s="17"/>
    </row>
    <row r="56" spans="1:38" x14ac:dyDescent="0.3">
      <c r="A56" s="30" t="s">
        <v>102</v>
      </c>
      <c r="B56" s="30" t="s">
        <v>104</v>
      </c>
      <c r="C56" s="30" t="s">
        <v>99</v>
      </c>
      <c r="D56" s="30">
        <v>2035</v>
      </c>
      <c r="H56">
        <f>0.417/0.86</f>
        <v>0.48488372093023252</v>
      </c>
      <c r="K56">
        <f>0.078*1.48/0.86</f>
        <v>0.13423255813953489</v>
      </c>
      <c r="M56">
        <f>2.57/0.86</f>
        <v>2.9883720930232558</v>
      </c>
      <c r="O56">
        <v>-1</v>
      </c>
      <c r="X56" s="17"/>
      <c r="Y56" s="17"/>
      <c r="Z56">
        <f>-2.75*K56</f>
        <v>-0.36913953488372092</v>
      </c>
    </row>
    <row r="57" spans="1:38" x14ac:dyDescent="0.3">
      <c r="A57" s="30" t="s">
        <v>105</v>
      </c>
      <c r="B57" s="30"/>
      <c r="C57" s="30" t="s">
        <v>99</v>
      </c>
      <c r="D57" s="30">
        <v>2040</v>
      </c>
      <c r="H57">
        <v>3.9950000000000001</v>
      </c>
      <c r="K57">
        <v>3</v>
      </c>
      <c r="O57">
        <v>-1</v>
      </c>
      <c r="X57" s="17"/>
      <c r="Y57" s="17"/>
      <c r="Z57">
        <f>-0.01*K57*25</f>
        <v>-0.75</v>
      </c>
    </row>
    <row r="58" spans="1:38" x14ac:dyDescent="0.3">
      <c r="A58" s="30" t="s">
        <v>106</v>
      </c>
      <c r="B58" s="30"/>
      <c r="C58" s="30" t="s">
        <v>99</v>
      </c>
      <c r="D58" s="30"/>
      <c r="H58">
        <f>0.64+0.421*0.82</f>
        <v>0.98521999999999998</v>
      </c>
      <c r="L58">
        <v>0.18</v>
      </c>
      <c r="P58">
        <v>-1</v>
      </c>
      <c r="X58" s="17"/>
      <c r="Y58" s="17"/>
    </row>
    <row r="59" spans="1:38" x14ac:dyDescent="0.3">
      <c r="A59" s="30" t="s">
        <v>107</v>
      </c>
      <c r="B59" s="30"/>
      <c r="C59" s="30" t="s">
        <v>99</v>
      </c>
      <c r="D59" s="30">
        <v>2045</v>
      </c>
      <c r="H59">
        <f>12.1+0.421*0.82</f>
        <v>12.445219999999999</v>
      </c>
      <c r="L59">
        <v>-1.9E-2</v>
      </c>
      <c r="P59">
        <v>-1</v>
      </c>
      <c r="X59" s="17"/>
      <c r="Y59" s="17"/>
    </row>
    <row r="60" spans="1:38" x14ac:dyDescent="0.3">
      <c r="A60" s="30" t="s">
        <v>108</v>
      </c>
      <c r="B60" s="30"/>
      <c r="C60" s="30" t="s">
        <v>99</v>
      </c>
      <c r="D60" s="30">
        <v>2035</v>
      </c>
      <c r="H60">
        <f>5.1+0.421*0.82</f>
        <v>5.4452199999999999</v>
      </c>
      <c r="L60">
        <f>0.18-0.019</f>
        <v>0.161</v>
      </c>
      <c r="P60">
        <v>-1</v>
      </c>
      <c r="X60" s="17"/>
      <c r="Y60" s="17"/>
    </row>
    <row r="61" spans="1:38" x14ac:dyDescent="0.3">
      <c r="A61" s="30" t="s">
        <v>109</v>
      </c>
      <c r="B61" s="30"/>
      <c r="C61" s="30" t="s">
        <v>99</v>
      </c>
      <c r="D61" s="30">
        <v>2045</v>
      </c>
      <c r="H61">
        <f>17.6+0.421*0.82</f>
        <v>17.945220000000003</v>
      </c>
      <c r="P61">
        <v>-1</v>
      </c>
      <c r="X61" s="17">
        <v>-1.41</v>
      </c>
      <c r="Y61" s="17"/>
    </row>
    <row r="62" spans="1:38" x14ac:dyDescent="0.3">
      <c r="A62" s="30" t="s">
        <v>132</v>
      </c>
      <c r="B62" s="30"/>
      <c r="C62" s="30" t="s">
        <v>99</v>
      </c>
      <c r="D62" s="30"/>
      <c r="H62">
        <v>0.32100000000000001</v>
      </c>
      <c r="K62">
        <f>0.532+0.15</f>
        <v>0.68200000000000005</v>
      </c>
      <c r="M62">
        <v>-1</v>
      </c>
      <c r="X62" s="17"/>
      <c r="Y62" s="17"/>
      <c r="Z62">
        <f>-0.059-0.15*2.75</f>
        <v>-0.47149999999999997</v>
      </c>
    </row>
    <row r="63" spans="1:38" x14ac:dyDescent="0.3">
      <c r="A63" s="30" t="s">
        <v>133</v>
      </c>
      <c r="B63" s="30"/>
      <c r="C63" s="30" t="s">
        <v>99</v>
      </c>
      <c r="D63" s="30">
        <v>2030</v>
      </c>
      <c r="H63">
        <f>H62+1.571</f>
        <v>1.8919999999999999</v>
      </c>
      <c r="K63">
        <f>0.532</f>
        <v>0.53200000000000003</v>
      </c>
      <c r="M63">
        <v>-1</v>
      </c>
      <c r="X63" s="17"/>
      <c r="Y63" s="17"/>
      <c r="Z63">
        <f>-0.059</f>
        <v>-5.8999999999999997E-2</v>
      </c>
    </row>
    <row r="64" spans="1:38" x14ac:dyDescent="0.3">
      <c r="A64" s="30" t="s">
        <v>110</v>
      </c>
      <c r="B64" s="30"/>
      <c r="C64" s="30" t="s">
        <v>99</v>
      </c>
      <c r="D64" s="30">
        <v>2035</v>
      </c>
      <c r="H64">
        <v>3.2000000000000001E-2</v>
      </c>
      <c r="K64">
        <v>0.13300000000000001</v>
      </c>
      <c r="L64">
        <v>0.156</v>
      </c>
      <c r="M64">
        <v>-1</v>
      </c>
      <c r="X64" s="17"/>
      <c r="Y64" s="17"/>
      <c r="Z64">
        <f>1.385-0.315</f>
        <v>1.07</v>
      </c>
    </row>
    <row r="65" spans="1:26" x14ac:dyDescent="0.3">
      <c r="A65" s="30" t="s">
        <v>111</v>
      </c>
      <c r="B65" s="30"/>
      <c r="C65" s="30" t="s">
        <v>99</v>
      </c>
      <c r="D65" s="30">
        <v>2035</v>
      </c>
      <c r="H65">
        <v>1.6040000000000001</v>
      </c>
      <c r="L65">
        <v>0.156</v>
      </c>
      <c r="M65">
        <v>-1</v>
      </c>
      <c r="X65" s="17"/>
      <c r="Y65" s="17"/>
      <c r="Z65">
        <f>1.385-0.001</f>
        <v>1.3840000000000001</v>
      </c>
    </row>
    <row r="66" spans="1:26" x14ac:dyDescent="0.3">
      <c r="A66" s="30" t="s">
        <v>112</v>
      </c>
      <c r="B66" s="30"/>
      <c r="C66" s="30" t="s">
        <v>99</v>
      </c>
      <c r="D66" s="30">
        <v>2040</v>
      </c>
      <c r="H66">
        <v>3.2000000000000001E-2</v>
      </c>
      <c r="K66">
        <v>0.13300000000000001</v>
      </c>
      <c r="L66">
        <v>0.19500000000000001</v>
      </c>
      <c r="M66">
        <v>-1</v>
      </c>
      <c r="X66" s="17"/>
      <c r="Y66" s="17"/>
      <c r="Z66">
        <f>1.425-0.315</f>
        <v>1.1100000000000001</v>
      </c>
    </row>
    <row r="67" spans="1:26" x14ac:dyDescent="0.3">
      <c r="A67" s="30" t="s">
        <v>113</v>
      </c>
      <c r="B67" s="30"/>
      <c r="C67" s="30" t="s">
        <v>99</v>
      </c>
      <c r="D67" s="30">
        <v>2040</v>
      </c>
      <c r="H67">
        <v>1.6040000000000001</v>
      </c>
      <c r="L67">
        <v>0.19500000000000001</v>
      </c>
      <c r="M67">
        <v>-1</v>
      </c>
      <c r="X67" s="17"/>
      <c r="Y67" s="17"/>
      <c r="Z67">
        <f>1.425-0.001</f>
        <v>1.4240000000000002</v>
      </c>
    </row>
    <row r="68" spans="1:26" x14ac:dyDescent="0.3">
      <c r="A68" s="30" t="s">
        <v>114</v>
      </c>
      <c r="B68" s="30"/>
      <c r="C68" s="30" t="s">
        <v>99</v>
      </c>
      <c r="D68" s="30">
        <v>2045</v>
      </c>
      <c r="H68">
        <v>13.8</v>
      </c>
      <c r="L68">
        <v>-4.7E-2</v>
      </c>
      <c r="M68">
        <v>-1</v>
      </c>
      <c r="X68" s="17">
        <v>-1.667</v>
      </c>
      <c r="Y68" s="17"/>
      <c r="Z68">
        <v>1.375</v>
      </c>
    </row>
    <row r="69" spans="1:26" x14ac:dyDescent="0.3">
      <c r="A69" s="32" t="s">
        <v>116</v>
      </c>
      <c r="B69" s="32" t="s">
        <v>5</v>
      </c>
      <c r="C69" s="32" t="s">
        <v>117</v>
      </c>
      <c r="D69" s="32"/>
      <c r="E69">
        <v>0.7</v>
      </c>
      <c r="H69">
        <f>0.194</f>
        <v>0.19400000000000001</v>
      </c>
      <c r="S69">
        <v>-1</v>
      </c>
      <c r="U69">
        <v>1.8</v>
      </c>
      <c r="X69" s="17"/>
      <c r="Z69">
        <v>-1.76</v>
      </c>
    </row>
    <row r="70" spans="1:26" x14ac:dyDescent="0.3">
      <c r="A70" s="32" t="s">
        <v>116</v>
      </c>
      <c r="B70" s="32" t="s">
        <v>124</v>
      </c>
      <c r="C70" s="32" t="s">
        <v>117</v>
      </c>
      <c r="D70" s="32">
        <v>2030</v>
      </c>
      <c r="E70">
        <v>0.57999999999999996</v>
      </c>
      <c r="H70">
        <f>0.194</f>
        <v>0.19400000000000001</v>
      </c>
      <c r="L70">
        <v>2.8000000000000001E-2</v>
      </c>
      <c r="S70">
        <v>-1</v>
      </c>
      <c r="U70">
        <v>1.8</v>
      </c>
      <c r="X70" s="17"/>
      <c r="Z70">
        <v>-1.3</v>
      </c>
    </row>
    <row r="71" spans="1:26" x14ac:dyDescent="0.3">
      <c r="A71" s="32" t="s">
        <v>116</v>
      </c>
      <c r="B71" s="32" t="s">
        <v>136</v>
      </c>
      <c r="C71" s="32" t="s">
        <v>117</v>
      </c>
      <c r="D71" s="32">
        <v>2030</v>
      </c>
      <c r="E71" s="7">
        <f>E69*0.85/0.92</f>
        <v>0.64673913043478259</v>
      </c>
      <c r="F71">
        <v>7.0000000000000007E-2</v>
      </c>
      <c r="H71">
        <f>0.194</f>
        <v>0.19400000000000001</v>
      </c>
      <c r="S71">
        <v>-1</v>
      </c>
      <c r="U71">
        <v>1.8</v>
      </c>
      <c r="X71" s="17"/>
      <c r="Z71">
        <v>-1.76</v>
      </c>
    </row>
    <row r="72" spans="1:26" x14ac:dyDescent="0.3">
      <c r="A72" s="32" t="s">
        <v>116</v>
      </c>
      <c r="B72" s="32" t="s">
        <v>135</v>
      </c>
      <c r="C72" s="32" t="s">
        <v>117</v>
      </c>
      <c r="D72" s="32">
        <v>2030</v>
      </c>
      <c r="E72" s="7">
        <f>(E71+E73)/2</f>
        <v>0.49836956521739129</v>
      </c>
      <c r="F72" s="7">
        <f>(0.415+0.07)/2</f>
        <v>0.24249999999999999</v>
      </c>
      <c r="H72">
        <f t="shared" ref="H72:H73" si="2">0.194</f>
        <v>0.19400000000000001</v>
      </c>
      <c r="S72">
        <v>-1</v>
      </c>
      <c r="U72">
        <v>1.8</v>
      </c>
      <c r="X72" s="17"/>
      <c r="Z72">
        <v>-1.76</v>
      </c>
    </row>
    <row r="73" spans="1:26" x14ac:dyDescent="0.3">
      <c r="A73" s="32" t="s">
        <v>116</v>
      </c>
      <c r="B73" s="32" t="s">
        <v>137</v>
      </c>
      <c r="C73" s="32" t="s">
        <v>117</v>
      </c>
      <c r="D73" s="32">
        <v>2030</v>
      </c>
      <c r="E73">
        <v>0.35</v>
      </c>
      <c r="F73" s="7">
        <v>0.41499999999999998</v>
      </c>
      <c r="H73">
        <f t="shared" si="2"/>
        <v>0.19400000000000001</v>
      </c>
      <c r="S73">
        <v>-1</v>
      </c>
      <c r="U73">
        <v>1.8</v>
      </c>
      <c r="X73" s="17"/>
      <c r="Z73">
        <v>-1.76</v>
      </c>
    </row>
    <row r="74" spans="1:26" x14ac:dyDescent="0.3">
      <c r="A74" s="32" t="s">
        <v>118</v>
      </c>
      <c r="B74" s="32"/>
      <c r="C74" s="32" t="s">
        <v>117</v>
      </c>
      <c r="D74" s="32"/>
      <c r="H74">
        <v>0.91800000000000004</v>
      </c>
      <c r="T74">
        <v>-1</v>
      </c>
      <c r="V74">
        <v>1</v>
      </c>
      <c r="X74" s="17"/>
    </row>
    <row r="75" spans="1:26" x14ac:dyDescent="0.3">
      <c r="A75" s="32" t="s">
        <v>119</v>
      </c>
      <c r="B75" s="32" t="s">
        <v>124</v>
      </c>
      <c r="C75" s="32" t="s">
        <v>117</v>
      </c>
      <c r="D75" s="32">
        <v>2030</v>
      </c>
      <c r="H75">
        <v>1.2310000000000001</v>
      </c>
      <c r="L75">
        <v>5.0999999999999997E-2</v>
      </c>
      <c r="S75">
        <v>-1</v>
      </c>
      <c r="U75">
        <v>1.6</v>
      </c>
      <c r="X75" s="17"/>
    </row>
    <row r="76" spans="1:26" x14ac:dyDescent="0.3">
      <c r="A76" s="32" t="s">
        <v>119</v>
      </c>
      <c r="B76" s="32" t="s">
        <v>122</v>
      </c>
      <c r="C76" s="32" t="s">
        <v>117</v>
      </c>
      <c r="D76" s="32">
        <v>2025</v>
      </c>
      <c r="H76">
        <v>1.2310000000000001</v>
      </c>
      <c r="K76">
        <v>0.214</v>
      </c>
      <c r="S76">
        <v>-1</v>
      </c>
      <c r="U76">
        <v>1.6</v>
      </c>
      <c r="X76" s="17"/>
      <c r="Z76">
        <v>-0.85899999999999999</v>
      </c>
    </row>
    <row r="77" spans="1:26" x14ac:dyDescent="0.3">
      <c r="A77" s="32" t="s">
        <v>120</v>
      </c>
      <c r="B77" s="32" t="s">
        <v>126</v>
      </c>
      <c r="C77" s="32" t="s">
        <v>117</v>
      </c>
      <c r="D77" s="32">
        <v>2035</v>
      </c>
      <c r="F77">
        <v>1.03</v>
      </c>
      <c r="H77">
        <v>1.298</v>
      </c>
      <c r="S77">
        <v>-1</v>
      </c>
      <c r="U77">
        <v>1.6</v>
      </c>
      <c r="X77" s="17"/>
      <c r="Z77">
        <v>-1.355</v>
      </c>
    </row>
    <row r="78" spans="1:26" x14ac:dyDescent="0.3">
      <c r="A78" s="32" t="s">
        <v>121</v>
      </c>
      <c r="B78" s="32"/>
      <c r="C78" s="32" t="s">
        <v>117</v>
      </c>
      <c r="D78" s="32">
        <v>2035</v>
      </c>
      <c r="H78">
        <v>3.6</v>
      </c>
      <c r="S78">
        <v>-1</v>
      </c>
      <c r="U78">
        <v>1.6</v>
      </c>
      <c r="X78" s="17"/>
    </row>
    <row r="79" spans="1:26" x14ac:dyDescent="0.3">
      <c r="A79" s="32" t="s">
        <v>121</v>
      </c>
      <c r="B79" s="32" t="s">
        <v>96</v>
      </c>
      <c r="C79" s="32" t="s">
        <v>117</v>
      </c>
      <c r="D79" s="32">
        <v>2035</v>
      </c>
      <c r="I79">
        <v>3.6</v>
      </c>
      <c r="S79">
        <v>-1</v>
      </c>
      <c r="U79">
        <v>1.6</v>
      </c>
      <c r="X79" s="17"/>
    </row>
    <row r="80" spans="1:26" x14ac:dyDescent="0.3">
      <c r="A80" s="32" t="s">
        <v>121</v>
      </c>
      <c r="B80" s="32" t="s">
        <v>97</v>
      </c>
      <c r="C80" s="32" t="s">
        <v>117</v>
      </c>
      <c r="D80" s="32">
        <v>2035</v>
      </c>
      <c r="J80">
        <v>3.6</v>
      </c>
      <c r="S80">
        <v>-1</v>
      </c>
      <c r="U80">
        <v>1.6</v>
      </c>
      <c r="X80" s="17"/>
    </row>
    <row r="81" spans="1:46" x14ac:dyDescent="0.3">
      <c r="A81" s="37" t="s">
        <v>146</v>
      </c>
      <c r="B81" s="37"/>
      <c r="C81" s="37" t="s">
        <v>145</v>
      </c>
      <c r="D81" s="37">
        <v>2015</v>
      </c>
      <c r="H81">
        <f>0.15*0.277777</f>
        <v>4.1666549999999997E-2</v>
      </c>
      <c r="AB81">
        <f>AN81/190*30</f>
        <v>4.4052631578947371E-2</v>
      </c>
      <c r="AN81">
        <v>0.27900000000000003</v>
      </c>
      <c r="AQ81">
        <v>-1</v>
      </c>
    </row>
    <row r="82" spans="1:46" x14ac:dyDescent="0.3">
      <c r="A82" s="37" t="s">
        <v>147</v>
      </c>
      <c r="B82" s="37"/>
      <c r="C82" s="37" t="s">
        <v>145</v>
      </c>
      <c r="D82" s="37">
        <v>2015</v>
      </c>
      <c r="H82">
        <f>0.15*0.277777</f>
        <v>4.1666549999999997E-2</v>
      </c>
      <c r="AB82">
        <f t="shared" ref="AB82:AB84" si="3">AN82/190*30</f>
        <v>6.6157894736842096E-2</v>
      </c>
      <c r="AN82">
        <v>0.41899999999999998</v>
      </c>
      <c r="AR82">
        <v>-1</v>
      </c>
    </row>
    <row r="83" spans="1:46" x14ac:dyDescent="0.3">
      <c r="A83" s="37" t="s">
        <v>146</v>
      </c>
      <c r="B83" s="37"/>
      <c r="C83" s="37" t="s">
        <v>145</v>
      </c>
      <c r="D83" s="37">
        <v>2030</v>
      </c>
      <c r="H83">
        <f>0.15*0.277777</f>
        <v>4.1666549999999997E-2</v>
      </c>
      <c r="AB83">
        <f t="shared" si="3"/>
        <v>1.7684210526315788E-2</v>
      </c>
      <c r="AN83">
        <v>0.112</v>
      </c>
      <c r="AQ83">
        <v>-1</v>
      </c>
    </row>
    <row r="84" spans="1:46" x14ac:dyDescent="0.3">
      <c r="A84" s="37" t="s">
        <v>147</v>
      </c>
      <c r="B84" s="37"/>
      <c r="C84" s="37" t="s">
        <v>145</v>
      </c>
      <c r="D84" s="37">
        <v>2030</v>
      </c>
      <c r="H84">
        <f>0.15*0.277777</f>
        <v>4.1666549999999997E-2</v>
      </c>
      <c r="AB84">
        <f t="shared" si="3"/>
        <v>4.4052631578947371E-2</v>
      </c>
      <c r="AN84">
        <v>0.27900000000000003</v>
      </c>
      <c r="AR84">
        <v>-1</v>
      </c>
    </row>
    <row r="85" spans="1:46" x14ac:dyDescent="0.3">
      <c r="A85" s="37" t="s">
        <v>163</v>
      </c>
      <c r="B85" s="37"/>
      <c r="C85" s="37" t="s">
        <v>145</v>
      </c>
      <c r="D85" s="37">
        <v>2015</v>
      </c>
      <c r="Z85">
        <f>(-110.52+109.99*0.5)*0.001</f>
        <v>-5.5524999999999998E-2</v>
      </c>
      <c r="AO85">
        <f>4.25*0.277777</f>
        <v>1.1805522500000001</v>
      </c>
      <c r="AQ85">
        <v>1</v>
      </c>
      <c r="AS85">
        <v>-1</v>
      </c>
    </row>
    <row r="86" spans="1:46" x14ac:dyDescent="0.3">
      <c r="A86" s="37" t="s">
        <v>164</v>
      </c>
      <c r="B86" s="37"/>
      <c r="C86" s="37" t="s">
        <v>145</v>
      </c>
      <c r="D86" s="37">
        <v>2015</v>
      </c>
      <c r="Z86">
        <f>(-110.52+109.99*0.25)*0.001</f>
        <v>-8.3022499999999999E-2</v>
      </c>
      <c r="AO86">
        <f>4.25*0.27777</f>
        <v>1.1805225000000001</v>
      </c>
      <c r="AR86">
        <v>1</v>
      </c>
      <c r="AT86">
        <v>-1</v>
      </c>
    </row>
    <row r="87" spans="1:46" x14ac:dyDescent="0.3">
      <c r="A87" s="37" t="s">
        <v>163</v>
      </c>
      <c r="B87" s="37"/>
      <c r="C87" s="37" t="s">
        <v>145</v>
      </c>
      <c r="D87" s="37">
        <v>2030</v>
      </c>
      <c r="Z87">
        <f>(-110.52+109.99*0.8)*0.001</f>
        <v>-2.2527999999999992E-2</v>
      </c>
      <c r="AO87">
        <f>3.93*0.27777</f>
        <v>1.0916361000000001</v>
      </c>
      <c r="AQ87">
        <v>1</v>
      </c>
      <c r="AS87">
        <v>-1</v>
      </c>
    </row>
    <row r="88" spans="1:46" x14ac:dyDescent="0.3">
      <c r="A88" s="37" t="s">
        <v>164</v>
      </c>
      <c r="B88" s="37"/>
      <c r="C88" s="37" t="s">
        <v>145</v>
      </c>
      <c r="D88" s="37">
        <v>2030</v>
      </c>
      <c r="Z88">
        <f>(-110.52+109.99*0.5)*0.001</f>
        <v>-5.5524999999999998E-2</v>
      </c>
      <c r="AO88">
        <f>3.98*0.27777</f>
        <v>1.1055246000000001</v>
      </c>
      <c r="AR88">
        <v>1</v>
      </c>
      <c r="AT88">
        <v>-1</v>
      </c>
    </row>
    <row r="89" spans="1:46" x14ac:dyDescent="0.3">
      <c r="A89" s="37" t="s">
        <v>165</v>
      </c>
      <c r="B89" s="37"/>
      <c r="C89" s="37" t="s">
        <v>145</v>
      </c>
      <c r="D89" s="37">
        <v>2015</v>
      </c>
      <c r="Z89">
        <f>(-110.52+109.99*0.5)*0.001</f>
        <v>-5.5524999999999998E-2</v>
      </c>
      <c r="AO89">
        <f>4.7*0.27777</f>
        <v>1.3055190000000001</v>
      </c>
      <c r="AQ89">
        <v>1</v>
      </c>
      <c r="AS89">
        <v>-1</v>
      </c>
    </row>
    <row r="90" spans="1:46" x14ac:dyDescent="0.3">
      <c r="A90" s="37" t="s">
        <v>166</v>
      </c>
      <c r="B90" s="37"/>
      <c r="C90" s="37" t="s">
        <v>145</v>
      </c>
      <c r="D90" s="37">
        <v>2015</v>
      </c>
      <c r="Z90">
        <f>(-110.52+109.99*0.25)*0.001</f>
        <v>-8.3022499999999999E-2</v>
      </c>
      <c r="AO90">
        <f>4.7*0.27777</f>
        <v>1.3055190000000001</v>
      </c>
      <c r="AR90">
        <v>1</v>
      </c>
      <c r="AT90">
        <v>-1</v>
      </c>
    </row>
    <row r="91" spans="1:46" x14ac:dyDescent="0.3">
      <c r="A91" s="37" t="s">
        <v>165</v>
      </c>
      <c r="B91" s="37"/>
      <c r="C91" s="37" t="s">
        <v>145</v>
      </c>
      <c r="D91" s="37">
        <v>2030</v>
      </c>
      <c r="Z91">
        <f>(-110.52+109.99*0.8)*0.001</f>
        <v>-2.2527999999999992E-2</v>
      </c>
      <c r="AO91">
        <f>4.35*0.2777</f>
        <v>1.2079949999999999</v>
      </c>
      <c r="AQ91">
        <v>1</v>
      </c>
      <c r="AS91">
        <v>-1</v>
      </c>
    </row>
    <row r="92" spans="1:46" x14ac:dyDescent="0.3">
      <c r="A92" s="37" t="s">
        <v>166</v>
      </c>
      <c r="B92" s="37"/>
      <c r="C92" s="37" t="s">
        <v>145</v>
      </c>
      <c r="D92" s="37">
        <v>2030</v>
      </c>
      <c r="Z92">
        <f>(-110.52+109.99*0.5)*0.001</f>
        <v>-5.5524999999999998E-2</v>
      </c>
      <c r="AO92">
        <f>4.41*0.277777</f>
        <v>1.2249965700000001</v>
      </c>
      <c r="AR92">
        <v>1</v>
      </c>
      <c r="AT92">
        <v>-1</v>
      </c>
    </row>
    <row r="93" spans="1:46" x14ac:dyDescent="0.3">
      <c r="A93" s="37" t="s">
        <v>157</v>
      </c>
      <c r="B93" s="37"/>
      <c r="C93" s="37" t="s">
        <v>145</v>
      </c>
      <c r="D93" s="37">
        <v>2015</v>
      </c>
      <c r="Z93">
        <f>(-110.52+109.99*0.5)*0.001</f>
        <v>-5.5524999999999998E-2</v>
      </c>
      <c r="AO93">
        <f>5.5*0.27777</f>
        <v>1.5277350000000001</v>
      </c>
      <c r="AQ93">
        <v>1</v>
      </c>
      <c r="AS93">
        <v>-1</v>
      </c>
    </row>
    <row r="94" spans="1:46" x14ac:dyDescent="0.3">
      <c r="A94" s="37" t="s">
        <v>158</v>
      </c>
      <c r="B94" s="37"/>
      <c r="C94" s="37" t="s">
        <v>145</v>
      </c>
      <c r="D94" s="37">
        <v>2015</v>
      </c>
      <c r="Z94">
        <f>(-110.52+109.99*0.25)*0.001</f>
        <v>-8.3022499999999999E-2</v>
      </c>
      <c r="AO94">
        <f>5.5*0.277777</f>
        <v>1.5277734999999999</v>
      </c>
      <c r="AR94">
        <v>1</v>
      </c>
      <c r="AT94">
        <v>-1</v>
      </c>
    </row>
    <row r="95" spans="1:46" x14ac:dyDescent="0.3">
      <c r="A95" s="37" t="s">
        <v>157</v>
      </c>
      <c r="B95" s="37"/>
      <c r="C95" s="37" t="s">
        <v>145</v>
      </c>
      <c r="D95" s="37">
        <v>2030</v>
      </c>
      <c r="Z95">
        <f>(-110.52+109.99*0.8)*0.001</f>
        <v>-2.2527999999999992E-2</v>
      </c>
      <c r="AO95">
        <f>5.0875*0.277777</f>
        <v>1.4131904875000001</v>
      </c>
      <c r="AQ95">
        <v>1</v>
      </c>
      <c r="AS95">
        <v>-1</v>
      </c>
    </row>
    <row r="96" spans="1:46" x14ac:dyDescent="0.3">
      <c r="A96" s="37" t="s">
        <v>158</v>
      </c>
      <c r="B96" s="37"/>
      <c r="C96" s="37" t="s">
        <v>145</v>
      </c>
      <c r="D96" s="37">
        <v>2030</v>
      </c>
      <c r="Z96">
        <f>(-110.52+109.99*0.5)*0.001</f>
        <v>-5.5524999999999998E-2</v>
      </c>
      <c r="AO96">
        <f>5.16*0.27777</f>
        <v>1.4332932</v>
      </c>
      <c r="AR96">
        <v>1</v>
      </c>
      <c r="AT96">
        <v>-1</v>
      </c>
    </row>
    <row r="97" spans="1:46" x14ac:dyDescent="0.3">
      <c r="A97" s="37" t="s">
        <v>159</v>
      </c>
      <c r="B97" s="37"/>
      <c r="C97" s="37" t="s">
        <v>145</v>
      </c>
      <c r="D97" s="37">
        <v>2015</v>
      </c>
      <c r="H97">
        <f>0.3*0.27777</f>
        <v>8.3331000000000002E-2</v>
      </c>
      <c r="Z97">
        <f>(-110.52+109.99*0.5)*0.001</f>
        <v>-5.5524999999999998E-2</v>
      </c>
      <c r="AP97">
        <f>4.3*0.27777</f>
        <v>1.1944110000000001</v>
      </c>
      <c r="AQ97">
        <v>1</v>
      </c>
      <c r="AS97">
        <v>-1</v>
      </c>
    </row>
    <row r="98" spans="1:46" x14ac:dyDescent="0.3">
      <c r="A98" s="37" t="s">
        <v>159</v>
      </c>
      <c r="B98" s="37"/>
      <c r="C98" s="37" t="s">
        <v>145</v>
      </c>
      <c r="D98" s="37">
        <v>2030</v>
      </c>
      <c r="H98">
        <f t="shared" ref="H98:H100" si="4">0.3*0.27777</f>
        <v>8.3331000000000002E-2</v>
      </c>
      <c r="Z98">
        <f>(-110.52+109.99*0.8)*0.001</f>
        <v>-2.2527999999999992E-2</v>
      </c>
      <c r="AP98">
        <f>3.98*0.2777</f>
        <v>1.105246</v>
      </c>
      <c r="AQ98">
        <v>1</v>
      </c>
      <c r="AS98">
        <v>-1</v>
      </c>
    </row>
    <row r="99" spans="1:46" x14ac:dyDescent="0.3">
      <c r="A99" s="37" t="s">
        <v>160</v>
      </c>
      <c r="B99" s="37"/>
      <c r="C99" s="37" t="s">
        <v>145</v>
      </c>
      <c r="D99" s="37">
        <v>2015</v>
      </c>
      <c r="H99">
        <f t="shared" si="4"/>
        <v>8.3331000000000002E-2</v>
      </c>
      <c r="Z99">
        <f>(-110.52+109.99*0.25)*0.001</f>
        <v>-8.3022499999999999E-2</v>
      </c>
      <c r="AP99">
        <f>4.3*0.27777</f>
        <v>1.1944110000000001</v>
      </c>
      <c r="AR99">
        <v>1</v>
      </c>
      <c r="AT99">
        <v>-1</v>
      </c>
    </row>
    <row r="100" spans="1:46" x14ac:dyDescent="0.3">
      <c r="A100" s="37" t="s">
        <v>160</v>
      </c>
      <c r="B100" s="37"/>
      <c r="C100" s="37" t="s">
        <v>145</v>
      </c>
      <c r="D100" s="37">
        <v>2030</v>
      </c>
      <c r="H100">
        <f t="shared" si="4"/>
        <v>8.3331000000000002E-2</v>
      </c>
      <c r="Z100">
        <f>(-110.52+109.99*0.5)*0.001</f>
        <v>-5.5524999999999998E-2</v>
      </c>
      <c r="AP100">
        <f>4.03*0.277777</f>
        <v>1.11944131</v>
      </c>
      <c r="AR100">
        <v>1</v>
      </c>
      <c r="AT100">
        <v>-1</v>
      </c>
    </row>
    <row r="101" spans="1:46" x14ac:dyDescent="0.3">
      <c r="A101" s="37" t="s">
        <v>161</v>
      </c>
      <c r="B101" s="37"/>
      <c r="C101" s="37" t="s">
        <v>145</v>
      </c>
      <c r="D101" s="37">
        <v>2030</v>
      </c>
      <c r="H101">
        <f>0.3*0.27777</f>
        <v>8.3331000000000002E-2</v>
      </c>
      <c r="Z101">
        <f>(-110.52+109.99*0.8)*0.001</f>
        <v>-2.2527999999999992E-2</v>
      </c>
      <c r="AP101">
        <f>AP98*0.8</f>
        <v>0.8841968</v>
      </c>
      <c r="AQ101">
        <v>1</v>
      </c>
      <c r="AS101">
        <v>-1</v>
      </c>
    </row>
    <row r="102" spans="1:46" x14ac:dyDescent="0.3">
      <c r="A102" s="37" t="s">
        <v>162</v>
      </c>
      <c r="B102" s="37"/>
      <c r="C102" s="37" t="s">
        <v>145</v>
      </c>
      <c r="D102" s="37">
        <v>2030</v>
      </c>
      <c r="H102">
        <f>0.3*0.27777</f>
        <v>8.3331000000000002E-2</v>
      </c>
      <c r="Z102">
        <f>(-110.52+109.99*0.5)*0.001</f>
        <v>-5.5524999999999998E-2</v>
      </c>
      <c r="AP102">
        <f>AP100*0.8</f>
        <v>0.89555304800000002</v>
      </c>
      <c r="AR102">
        <v>1</v>
      </c>
      <c r="AT102">
        <v>-1</v>
      </c>
    </row>
    <row r="103" spans="1:46" x14ac:dyDescent="0.3">
      <c r="A103" s="37" t="s">
        <v>176</v>
      </c>
      <c r="B103" s="37"/>
      <c r="C103" s="37" t="s">
        <v>145</v>
      </c>
      <c r="D103" s="37">
        <v>2030</v>
      </c>
      <c r="H103">
        <f>3.5*0.277777*0.7</f>
        <v>0.68055365000000001</v>
      </c>
      <c r="L103">
        <f>3.5*0.277777*0.3/33.3</f>
        <v>8.7587342342342351E-3</v>
      </c>
      <c r="Z103">
        <f>(-110.52+109.99*0.5)*0.001</f>
        <v>-5.5524999999999998E-2</v>
      </c>
      <c r="AR103">
        <v>1</v>
      </c>
      <c r="AT103">
        <v>-1</v>
      </c>
    </row>
    <row r="104" spans="1:46" x14ac:dyDescent="0.3">
      <c r="A104" s="37" t="s">
        <v>177</v>
      </c>
      <c r="B104" s="37"/>
      <c r="C104" s="37" t="s">
        <v>145</v>
      </c>
      <c r="D104" s="37">
        <v>2030</v>
      </c>
      <c r="H104">
        <f>3.5*0.277777</f>
        <v>0.97221950000000001</v>
      </c>
      <c r="Z104">
        <f>(-110.52+109.99*0.5)*0.001</f>
        <v>-5.5524999999999998E-2</v>
      </c>
      <c r="AR104">
        <v>1</v>
      </c>
      <c r="AT104">
        <v>-1</v>
      </c>
    </row>
    <row r="105" spans="1:46" x14ac:dyDescent="0.3">
      <c r="A105" s="37" t="s">
        <v>178</v>
      </c>
      <c r="B105" s="37"/>
      <c r="C105" s="37" t="s">
        <v>145</v>
      </c>
      <c r="D105" s="37">
        <v>2030</v>
      </c>
      <c r="H105">
        <f>3.5*0.277777*0.7</f>
        <v>0.68055365000000001</v>
      </c>
      <c r="L105">
        <f>3.5*0.277777*0.3/33.3</f>
        <v>8.7587342342342351E-3</v>
      </c>
      <c r="Z105">
        <f>(-110.52+109.99*0.5)*0.001</f>
        <v>-5.5524999999999998E-2</v>
      </c>
      <c r="AQ105">
        <v>1</v>
      </c>
      <c r="AS105">
        <v>-1</v>
      </c>
    </row>
    <row r="106" spans="1:46" x14ac:dyDescent="0.3">
      <c r="A106" s="37" t="s">
        <v>179</v>
      </c>
      <c r="B106" s="37"/>
      <c r="C106" s="37" t="s">
        <v>145</v>
      </c>
      <c r="D106" s="37">
        <v>2030</v>
      </c>
      <c r="H106">
        <f>3.5*0.277777</f>
        <v>0.97221950000000001</v>
      </c>
      <c r="Z106">
        <f>(-110.52+109.99*0.5)*0.001</f>
        <v>-5.5524999999999998E-2</v>
      </c>
      <c r="AQ106">
        <v>1</v>
      </c>
      <c r="AS106">
        <v>-1</v>
      </c>
    </row>
    <row r="107" spans="1:46" x14ac:dyDescent="0.3">
      <c r="A107" s="37" t="s">
        <v>174</v>
      </c>
      <c r="B107" s="37"/>
      <c r="C107" s="37" t="s">
        <v>145</v>
      </c>
      <c r="D107" s="37">
        <v>2015</v>
      </c>
      <c r="H107">
        <v>1</v>
      </c>
      <c r="AO107">
        <v>-1</v>
      </c>
    </row>
    <row r="108" spans="1:46" x14ac:dyDescent="0.3">
      <c r="A108" s="37" t="s">
        <v>170</v>
      </c>
      <c r="B108" s="37"/>
      <c r="C108" s="37" t="s">
        <v>145</v>
      </c>
      <c r="D108" s="37">
        <v>2015</v>
      </c>
      <c r="K108">
        <f>1/13.1</f>
        <v>7.6335877862595422E-2</v>
      </c>
      <c r="Z108">
        <f>-K108*2.75</f>
        <v>-0.20992366412213742</v>
      </c>
      <c r="AO108">
        <v>-1</v>
      </c>
    </row>
    <row r="109" spans="1:46" x14ac:dyDescent="0.3">
      <c r="A109" s="37" t="s">
        <v>171</v>
      </c>
      <c r="B109" s="37"/>
      <c r="C109" s="37" t="s">
        <v>145</v>
      </c>
      <c r="D109" s="37">
        <v>2025</v>
      </c>
      <c r="L109">
        <f>1/33.3</f>
        <v>3.0030030030030033E-2</v>
      </c>
      <c r="AO109">
        <v>-1</v>
      </c>
    </row>
    <row r="110" spans="1:46" x14ac:dyDescent="0.3">
      <c r="A110" s="37" t="s">
        <v>175</v>
      </c>
      <c r="B110" s="37"/>
      <c r="C110" s="37" t="s">
        <v>145</v>
      </c>
      <c r="D110" s="37">
        <v>2015</v>
      </c>
      <c r="H110">
        <v>1</v>
      </c>
      <c r="AP110">
        <v>-1</v>
      </c>
    </row>
    <row r="111" spans="1:46" x14ac:dyDescent="0.3">
      <c r="A111" s="37" t="s">
        <v>172</v>
      </c>
      <c r="B111" s="37"/>
      <c r="C111" s="37" t="s">
        <v>145</v>
      </c>
      <c r="D111" s="37">
        <v>2015</v>
      </c>
      <c r="K111">
        <f>1/13.1</f>
        <v>7.6335877862595422E-2</v>
      </c>
      <c r="Z111">
        <f>-K111*2.75</f>
        <v>-0.20992366412213742</v>
      </c>
      <c r="AP111">
        <v>-1</v>
      </c>
    </row>
    <row r="112" spans="1:46" x14ac:dyDescent="0.3">
      <c r="A112" s="37" t="s">
        <v>173</v>
      </c>
      <c r="B112" s="37"/>
      <c r="C112" s="37" t="s">
        <v>145</v>
      </c>
      <c r="D112" s="37">
        <v>2025</v>
      </c>
      <c r="L112">
        <f>1/33.3</f>
        <v>3.0030030030030033E-2</v>
      </c>
      <c r="AP112">
        <v>-1</v>
      </c>
    </row>
    <row r="113" spans="1:48" x14ac:dyDescent="0.3">
      <c r="A113" s="37" t="s">
        <v>149</v>
      </c>
      <c r="B113" s="37"/>
      <c r="C113" s="37" t="s">
        <v>145</v>
      </c>
      <c r="D113" s="37"/>
      <c r="H113">
        <f>(0.6+0.13)*0.277777</f>
        <v>0.20277720999999999</v>
      </c>
      <c r="K113">
        <f>0.9*0.277777/13.1</f>
        <v>1.9083916030534352E-2</v>
      </c>
      <c r="Z113">
        <f>-K113*2.75</f>
        <v>-5.2480769083969467E-2</v>
      </c>
      <c r="AS113">
        <v>1</v>
      </c>
      <c r="AU113">
        <v>-1</v>
      </c>
    </row>
    <row r="114" spans="1:48" x14ac:dyDescent="0.3">
      <c r="A114" s="37" t="s">
        <v>148</v>
      </c>
      <c r="B114" s="37"/>
      <c r="C114" s="37" t="s">
        <v>145</v>
      </c>
      <c r="D114" s="37"/>
      <c r="H114">
        <f>(0.13+2.43)*0.27777</f>
        <v>0.71109120000000003</v>
      </c>
      <c r="K114">
        <f>1.43*0.277777/13.1</f>
        <v>3.032222213740458E-2</v>
      </c>
      <c r="Z114">
        <f>-K114*2.75</f>
        <v>-8.3386110877862601E-2</v>
      </c>
      <c r="AT114">
        <v>1</v>
      </c>
      <c r="AV114">
        <v>-1</v>
      </c>
    </row>
    <row r="115" spans="1:48" x14ac:dyDescent="0.3">
      <c r="A115" s="42" t="s">
        <v>183</v>
      </c>
      <c r="B115" s="42"/>
      <c r="C115" s="42" t="s">
        <v>181</v>
      </c>
      <c r="D115" s="42">
        <v>2030</v>
      </c>
      <c r="H115">
        <f>1.091*0.277777777</f>
        <v>0.30305555470700002</v>
      </c>
      <c r="L115">
        <v>0.48</v>
      </c>
      <c r="Q115">
        <v>-1</v>
      </c>
      <c r="Z115">
        <v>3.056</v>
      </c>
    </row>
    <row r="116" spans="1:48" x14ac:dyDescent="0.3">
      <c r="A116" s="42" t="s">
        <v>106</v>
      </c>
      <c r="B116" s="42"/>
      <c r="C116" s="42" t="s">
        <v>181</v>
      </c>
      <c r="D116" s="42"/>
      <c r="H116">
        <f>0.64+0.421*0.82</f>
        <v>0.98521999999999998</v>
      </c>
      <c r="L116">
        <v>0.18</v>
      </c>
      <c r="P116">
        <v>-1</v>
      </c>
      <c r="X116" s="17"/>
      <c r="Y116" s="17"/>
    </row>
    <row r="117" spans="1:48" x14ac:dyDescent="0.3">
      <c r="A117" s="42" t="s">
        <v>107</v>
      </c>
      <c r="B117" s="42"/>
      <c r="C117" s="42" t="s">
        <v>181</v>
      </c>
      <c r="D117" s="42">
        <v>2045</v>
      </c>
      <c r="H117">
        <f>12.1+0.421*0.82</f>
        <v>12.445219999999999</v>
      </c>
      <c r="L117">
        <v>-1.9E-2</v>
      </c>
      <c r="P117">
        <v>-1</v>
      </c>
      <c r="X117" s="17"/>
      <c r="Y117" s="17"/>
    </row>
    <row r="118" spans="1:48" x14ac:dyDescent="0.3">
      <c r="A118" s="42" t="s">
        <v>108</v>
      </c>
      <c r="B118" s="42"/>
      <c r="C118" s="42" t="s">
        <v>181</v>
      </c>
      <c r="D118" s="42">
        <v>2035</v>
      </c>
      <c r="H118">
        <f>5.1+0.421*0.82</f>
        <v>5.4452199999999999</v>
      </c>
      <c r="L118">
        <f>0.18-0.019</f>
        <v>0.161</v>
      </c>
      <c r="P118">
        <v>-1</v>
      </c>
      <c r="X118" s="17"/>
      <c r="Y118" s="17"/>
    </row>
    <row r="119" spans="1:48" x14ac:dyDescent="0.3">
      <c r="A119" s="42" t="s">
        <v>109</v>
      </c>
      <c r="B119" s="42"/>
      <c r="C119" s="42" t="s">
        <v>181</v>
      </c>
      <c r="D119" s="42">
        <v>2045</v>
      </c>
      <c r="H119">
        <f>17.6+0.421*0.82</f>
        <v>17.945220000000003</v>
      </c>
      <c r="P119">
        <v>-1</v>
      </c>
      <c r="X119" s="17">
        <v>-1.41</v>
      </c>
      <c r="Y119" s="17"/>
    </row>
    <row r="120" spans="1:48" x14ac:dyDescent="0.3">
      <c r="A120" s="42" t="s">
        <v>132</v>
      </c>
      <c r="B120" s="42"/>
      <c r="C120" s="42" t="s">
        <v>181</v>
      </c>
      <c r="D120" s="42"/>
      <c r="H120">
        <v>0.32100000000000001</v>
      </c>
      <c r="K120">
        <f>0.532+0.15</f>
        <v>0.68200000000000005</v>
      </c>
      <c r="M120">
        <v>-1</v>
      </c>
      <c r="X120" s="17"/>
      <c r="Y120" s="17"/>
      <c r="Z120">
        <f>-0.059-0.15*2.75</f>
        <v>-0.47149999999999997</v>
      </c>
    </row>
    <row r="121" spans="1:48" x14ac:dyDescent="0.3">
      <c r="A121" s="42" t="s">
        <v>133</v>
      </c>
      <c r="B121" s="42"/>
      <c r="C121" s="42" t="s">
        <v>181</v>
      </c>
      <c r="D121" s="42">
        <v>2030</v>
      </c>
      <c r="H121">
        <f>H120+1.571</f>
        <v>1.8919999999999999</v>
      </c>
      <c r="K121">
        <f>0.532</f>
        <v>0.53200000000000003</v>
      </c>
      <c r="M121">
        <v>-1</v>
      </c>
      <c r="X121" s="17"/>
      <c r="Y121" s="17"/>
      <c r="Z121">
        <f>-0.059</f>
        <v>-5.8999999999999997E-2</v>
      </c>
    </row>
    <row r="122" spans="1:48" x14ac:dyDescent="0.3">
      <c r="A122" s="42" t="s">
        <v>110</v>
      </c>
      <c r="B122" s="42"/>
      <c r="C122" s="42" t="s">
        <v>181</v>
      </c>
      <c r="D122" s="42">
        <v>2035</v>
      </c>
      <c r="H122">
        <v>3.2000000000000001E-2</v>
      </c>
      <c r="K122">
        <v>0.13300000000000001</v>
      </c>
      <c r="L122">
        <v>0.156</v>
      </c>
      <c r="M122">
        <v>-1</v>
      </c>
      <c r="X122" s="17"/>
      <c r="Y122" s="17"/>
      <c r="Z122">
        <f>1.385-0.315</f>
        <v>1.07</v>
      </c>
    </row>
    <row r="123" spans="1:48" x14ac:dyDescent="0.3">
      <c r="A123" s="42" t="s">
        <v>111</v>
      </c>
      <c r="B123" s="42"/>
      <c r="C123" s="42" t="s">
        <v>181</v>
      </c>
      <c r="D123" s="42">
        <v>2035</v>
      </c>
      <c r="H123">
        <v>1.6040000000000001</v>
      </c>
      <c r="L123">
        <v>0.156</v>
      </c>
      <c r="M123">
        <v>-1</v>
      </c>
      <c r="X123" s="17"/>
      <c r="Y123" s="17"/>
      <c r="Z123">
        <f>1.385-0.001</f>
        <v>1.3840000000000001</v>
      </c>
    </row>
    <row r="124" spans="1:48" x14ac:dyDescent="0.3">
      <c r="A124" s="42" t="s">
        <v>112</v>
      </c>
      <c r="B124" s="42"/>
      <c r="C124" s="42" t="s">
        <v>181</v>
      </c>
      <c r="D124" s="42">
        <v>2040</v>
      </c>
      <c r="H124">
        <v>3.2000000000000001E-2</v>
      </c>
      <c r="K124">
        <v>0.13300000000000001</v>
      </c>
      <c r="L124">
        <v>0.19500000000000001</v>
      </c>
      <c r="M124">
        <v>-1</v>
      </c>
      <c r="X124" s="17"/>
      <c r="Y124" s="17"/>
      <c r="Z124">
        <f>1.425-0.315</f>
        <v>1.1100000000000001</v>
      </c>
    </row>
    <row r="125" spans="1:48" x14ac:dyDescent="0.3">
      <c r="A125" s="42" t="s">
        <v>113</v>
      </c>
      <c r="B125" s="42"/>
      <c r="C125" s="42" t="s">
        <v>181</v>
      </c>
      <c r="D125" s="42">
        <v>2040</v>
      </c>
      <c r="H125">
        <v>1.6040000000000001</v>
      </c>
      <c r="L125">
        <v>0.19500000000000001</v>
      </c>
      <c r="M125">
        <v>-1</v>
      </c>
      <c r="X125" s="17"/>
      <c r="Y125" s="17"/>
      <c r="Z125">
        <f>1.425-0.001</f>
        <v>1.4240000000000002</v>
      </c>
    </row>
    <row r="126" spans="1:48" x14ac:dyDescent="0.3">
      <c r="A126" s="42" t="s">
        <v>114</v>
      </c>
      <c r="B126" s="42"/>
      <c r="C126" s="42" t="s">
        <v>181</v>
      </c>
      <c r="D126" s="42">
        <v>2045</v>
      </c>
      <c r="H126">
        <v>13.8</v>
      </c>
      <c r="L126">
        <v>-4.7E-2</v>
      </c>
      <c r="M126">
        <v>-1</v>
      </c>
      <c r="X126" s="17">
        <v>-1.667</v>
      </c>
      <c r="Y126" s="17"/>
      <c r="Z126">
        <v>1.375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4"/>
  <sheetViews>
    <sheetView zoomScale="85" zoomScaleNormal="85" workbookViewId="0">
      <selection activeCell="E371" sqref="E371"/>
    </sheetView>
  </sheetViews>
  <sheetFormatPr baseColWidth="10" defaultRowHeight="14.4" x14ac:dyDescent="0.3"/>
  <cols>
    <col min="1" max="1" width="15.77734375" customWidth="1"/>
    <col min="2" max="2" width="13.44140625" customWidth="1"/>
    <col min="5" max="5" width="16.109375" bestFit="1" customWidth="1"/>
  </cols>
  <sheetData>
    <row r="1" spans="1:6" x14ac:dyDescent="0.3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3">
      <c r="A2" t="s">
        <v>22</v>
      </c>
      <c r="E2" t="s">
        <v>13</v>
      </c>
      <c r="F2">
        <v>1</v>
      </c>
    </row>
    <row r="3" spans="1:6" hidden="1" x14ac:dyDescent="0.3">
      <c r="A3" t="s">
        <v>22</v>
      </c>
      <c r="B3" t="s">
        <v>60</v>
      </c>
      <c r="E3" t="s">
        <v>62</v>
      </c>
      <c r="F3">
        <v>1</v>
      </c>
    </row>
    <row r="4" spans="1:6" hidden="1" x14ac:dyDescent="0.3">
      <c r="A4" t="s">
        <v>55</v>
      </c>
      <c r="B4" t="s">
        <v>60</v>
      </c>
      <c r="E4" t="s">
        <v>62</v>
      </c>
      <c r="F4">
        <v>1</v>
      </c>
    </row>
    <row r="5" spans="1:6" hidden="1" x14ac:dyDescent="0.3">
      <c r="A5" t="s">
        <v>20</v>
      </c>
      <c r="B5" t="s">
        <v>60</v>
      </c>
      <c r="E5" t="s">
        <v>62</v>
      </c>
      <c r="F5">
        <v>1</v>
      </c>
    </row>
    <row r="6" spans="1:6" hidden="1" x14ac:dyDescent="0.3">
      <c r="A6" t="s">
        <v>64</v>
      </c>
      <c r="B6" t="s">
        <v>67</v>
      </c>
      <c r="E6" t="s">
        <v>13</v>
      </c>
      <c r="F6">
        <v>1</v>
      </c>
    </row>
    <row r="7" spans="1:6" hidden="1" x14ac:dyDescent="0.3">
      <c r="A7" t="s">
        <v>65</v>
      </c>
      <c r="B7" t="s">
        <v>67</v>
      </c>
      <c r="E7" t="s">
        <v>13</v>
      </c>
      <c r="F7">
        <v>1</v>
      </c>
    </row>
    <row r="8" spans="1:6" hidden="1" x14ac:dyDescent="0.3">
      <c r="A8" t="s">
        <v>79</v>
      </c>
      <c r="B8" t="s">
        <v>67</v>
      </c>
      <c r="E8" t="s">
        <v>13</v>
      </c>
      <c r="F8">
        <v>1</v>
      </c>
    </row>
    <row r="9" spans="1:6" hidden="1" x14ac:dyDescent="0.3">
      <c r="A9" t="s">
        <v>185</v>
      </c>
      <c r="B9" t="s">
        <v>67</v>
      </c>
      <c r="D9">
        <v>2030</v>
      </c>
      <c r="E9" t="s">
        <v>13</v>
      </c>
      <c r="F9">
        <v>1</v>
      </c>
    </row>
    <row r="10" spans="1:6" hidden="1" x14ac:dyDescent="0.3">
      <c r="A10" t="s">
        <v>189</v>
      </c>
      <c r="B10" t="s">
        <v>67</v>
      </c>
      <c r="D10">
        <v>2030</v>
      </c>
      <c r="E10" t="s">
        <v>13</v>
      </c>
      <c r="F10">
        <v>1</v>
      </c>
    </row>
    <row r="11" spans="1:6" hidden="1" x14ac:dyDescent="0.3">
      <c r="A11" t="s">
        <v>187</v>
      </c>
      <c r="B11" t="s">
        <v>67</v>
      </c>
      <c r="D11">
        <v>2030</v>
      </c>
      <c r="E11" t="s">
        <v>13</v>
      </c>
      <c r="F11">
        <v>1</v>
      </c>
    </row>
    <row r="12" spans="1:6" hidden="1" x14ac:dyDescent="0.3">
      <c r="A12" t="s">
        <v>66</v>
      </c>
      <c r="B12" t="s">
        <v>67</v>
      </c>
      <c r="D12">
        <v>2015</v>
      </c>
      <c r="E12" t="s">
        <v>13</v>
      </c>
      <c r="F12">
        <v>0</v>
      </c>
    </row>
    <row r="13" spans="1:6" hidden="1" x14ac:dyDescent="0.3">
      <c r="A13" t="s">
        <v>66</v>
      </c>
      <c r="B13" t="s">
        <v>67</v>
      </c>
      <c r="D13">
        <v>2016</v>
      </c>
      <c r="E13" t="s">
        <v>13</v>
      </c>
      <c r="F13">
        <v>0</v>
      </c>
    </row>
    <row r="14" spans="1:6" hidden="1" x14ac:dyDescent="0.3">
      <c r="A14" t="s">
        <v>66</v>
      </c>
      <c r="B14" t="s">
        <v>67</v>
      </c>
      <c r="D14">
        <v>2017</v>
      </c>
      <c r="E14" t="s">
        <v>13</v>
      </c>
      <c r="F14">
        <v>0</v>
      </c>
    </row>
    <row r="15" spans="1:6" hidden="1" x14ac:dyDescent="0.3">
      <c r="A15" t="s">
        <v>66</v>
      </c>
      <c r="B15" t="s">
        <v>67</v>
      </c>
      <c r="D15">
        <v>2018</v>
      </c>
      <c r="E15" t="s">
        <v>13</v>
      </c>
      <c r="F15">
        <v>0</v>
      </c>
    </row>
    <row r="16" spans="1:6" hidden="1" x14ac:dyDescent="0.3">
      <c r="A16" t="s">
        <v>66</v>
      </c>
      <c r="B16" t="s">
        <v>67</v>
      </c>
      <c r="D16">
        <v>2019</v>
      </c>
      <c r="E16" t="s">
        <v>13</v>
      </c>
      <c r="F16">
        <v>0</v>
      </c>
    </row>
    <row r="17" spans="1:8" hidden="1" x14ac:dyDescent="0.3">
      <c r="A17" t="s">
        <v>66</v>
      </c>
      <c r="B17" t="s">
        <v>67</v>
      </c>
      <c r="D17">
        <v>2020</v>
      </c>
      <c r="E17" t="s">
        <v>13</v>
      </c>
      <c r="F17">
        <v>0</v>
      </c>
    </row>
    <row r="18" spans="1:8" hidden="1" x14ac:dyDescent="0.3">
      <c r="A18" t="s">
        <v>66</v>
      </c>
      <c r="B18" t="s">
        <v>67</v>
      </c>
      <c r="E18" t="s">
        <v>13</v>
      </c>
      <c r="F18">
        <v>1</v>
      </c>
    </row>
    <row r="19" spans="1:8" hidden="1" x14ac:dyDescent="0.3">
      <c r="A19" t="s">
        <v>190</v>
      </c>
      <c r="B19" t="s">
        <v>67</v>
      </c>
      <c r="E19" t="s">
        <v>13</v>
      </c>
      <c r="F19">
        <v>0</v>
      </c>
    </row>
    <row r="20" spans="1:8" hidden="1" x14ac:dyDescent="0.3">
      <c r="A20" t="s">
        <v>190</v>
      </c>
      <c r="B20" t="s">
        <v>67</v>
      </c>
      <c r="E20" t="s">
        <v>62</v>
      </c>
      <c r="F20">
        <v>1</v>
      </c>
    </row>
    <row r="21" spans="1:8" hidden="1" x14ac:dyDescent="0.3">
      <c r="A21" t="s">
        <v>191</v>
      </c>
      <c r="B21" t="s">
        <v>67</v>
      </c>
      <c r="E21" t="s">
        <v>13</v>
      </c>
      <c r="F21">
        <v>0</v>
      </c>
    </row>
    <row r="22" spans="1:8" hidden="1" x14ac:dyDescent="0.3">
      <c r="A22" t="s">
        <v>191</v>
      </c>
      <c r="B22" t="s">
        <v>67</v>
      </c>
      <c r="E22" t="s">
        <v>62</v>
      </c>
      <c r="F22">
        <v>1</v>
      </c>
    </row>
    <row r="23" spans="1:8" hidden="1" x14ac:dyDescent="0.3">
      <c r="A23" t="s">
        <v>78</v>
      </c>
      <c r="B23" t="s">
        <v>67</v>
      </c>
      <c r="E23" t="s">
        <v>13</v>
      </c>
      <c r="F23">
        <v>0</v>
      </c>
    </row>
    <row r="24" spans="1:8" hidden="1" x14ac:dyDescent="0.3">
      <c r="A24" t="s">
        <v>78</v>
      </c>
      <c r="B24" t="s">
        <v>67</v>
      </c>
      <c r="E24" t="s">
        <v>62</v>
      </c>
      <c r="F24">
        <v>1</v>
      </c>
    </row>
    <row r="25" spans="1:8" hidden="1" x14ac:dyDescent="0.3">
      <c r="A25" t="s">
        <v>77</v>
      </c>
      <c r="B25" t="s">
        <v>67</v>
      </c>
      <c r="E25" t="s">
        <v>62</v>
      </c>
      <c r="F25">
        <v>1</v>
      </c>
    </row>
    <row r="26" spans="1:8" hidden="1" x14ac:dyDescent="0.3">
      <c r="A26" t="s">
        <v>77</v>
      </c>
      <c r="B26" t="s">
        <v>67</v>
      </c>
      <c r="E26" t="s">
        <v>13</v>
      </c>
      <c r="F26">
        <v>0</v>
      </c>
    </row>
    <row r="27" spans="1:8" hidden="1" x14ac:dyDescent="0.3">
      <c r="A27" t="s">
        <v>64</v>
      </c>
      <c r="B27" t="s">
        <v>67</v>
      </c>
      <c r="C27" t="s">
        <v>24</v>
      </c>
      <c r="D27">
        <v>2015</v>
      </c>
      <c r="E27" t="s">
        <v>36</v>
      </c>
      <c r="F27" s="10">
        <f>19000000*0.3</f>
        <v>5700000</v>
      </c>
      <c r="H27" s="10"/>
    </row>
    <row r="28" spans="1:8" hidden="1" x14ac:dyDescent="0.3">
      <c r="A28" t="s">
        <v>65</v>
      </c>
      <c r="B28" t="s">
        <v>67</v>
      </c>
      <c r="C28" t="s">
        <v>24</v>
      </c>
      <c r="D28">
        <v>2015</v>
      </c>
      <c r="E28" t="s">
        <v>36</v>
      </c>
      <c r="F28" s="10">
        <f>19000000*0.57</f>
        <v>10830000</v>
      </c>
    </row>
    <row r="29" spans="1:8" hidden="1" x14ac:dyDescent="0.3">
      <c r="A29" t="s">
        <v>79</v>
      </c>
      <c r="B29" t="s">
        <v>67</v>
      </c>
      <c r="C29" t="s">
        <v>24</v>
      </c>
      <c r="D29">
        <v>2015</v>
      </c>
      <c r="E29" t="s">
        <v>36</v>
      </c>
      <c r="F29" s="10">
        <f>19000000*0.13</f>
        <v>2470000</v>
      </c>
    </row>
    <row r="30" spans="1:8" hidden="1" x14ac:dyDescent="0.3">
      <c r="A30" t="s">
        <v>66</v>
      </c>
      <c r="B30" t="s">
        <v>67</v>
      </c>
      <c r="C30" t="s">
        <v>24</v>
      </c>
      <c r="D30">
        <v>2015</v>
      </c>
      <c r="E30" t="s">
        <v>36</v>
      </c>
      <c r="F30">
        <v>0</v>
      </c>
    </row>
    <row r="31" spans="1:8" hidden="1" x14ac:dyDescent="0.3">
      <c r="A31" t="s">
        <v>64</v>
      </c>
      <c r="B31" t="s">
        <v>67</v>
      </c>
      <c r="C31" t="s">
        <v>24</v>
      </c>
      <c r="D31">
        <v>2025</v>
      </c>
      <c r="E31" t="s">
        <v>36</v>
      </c>
      <c r="F31" s="10">
        <f>19000000*0.3</f>
        <v>5700000</v>
      </c>
    </row>
    <row r="32" spans="1:8" hidden="1" x14ac:dyDescent="0.3">
      <c r="A32" t="s">
        <v>65</v>
      </c>
      <c r="B32" t="s">
        <v>67</v>
      </c>
      <c r="C32" t="s">
        <v>24</v>
      </c>
      <c r="D32">
        <v>2025</v>
      </c>
      <c r="E32" t="s">
        <v>36</v>
      </c>
      <c r="F32" s="10">
        <f>19000000*0.57</f>
        <v>10830000</v>
      </c>
    </row>
    <row r="33" spans="1:6" hidden="1" x14ac:dyDescent="0.3">
      <c r="A33" t="s">
        <v>79</v>
      </c>
      <c r="B33" t="s">
        <v>67</v>
      </c>
      <c r="C33" t="s">
        <v>24</v>
      </c>
      <c r="D33">
        <v>2025</v>
      </c>
      <c r="E33" t="s">
        <v>36</v>
      </c>
      <c r="F33" s="10">
        <f>19000000*0.13</f>
        <v>2470000</v>
      </c>
    </row>
    <row r="34" spans="1:6" hidden="1" x14ac:dyDescent="0.3">
      <c r="A34" t="s">
        <v>66</v>
      </c>
      <c r="B34" t="s">
        <v>67</v>
      </c>
      <c r="C34" t="s">
        <v>24</v>
      </c>
      <c r="D34">
        <v>2025</v>
      </c>
      <c r="E34" t="s">
        <v>36</v>
      </c>
      <c r="F34">
        <v>0</v>
      </c>
    </row>
    <row r="35" spans="1:6" hidden="1" x14ac:dyDescent="0.3">
      <c r="A35" t="s">
        <v>185</v>
      </c>
      <c r="B35" t="s">
        <v>67</v>
      </c>
      <c r="C35" t="s">
        <v>24</v>
      </c>
      <c r="D35">
        <v>2025</v>
      </c>
      <c r="E35" t="s">
        <v>36</v>
      </c>
      <c r="F35">
        <v>0</v>
      </c>
    </row>
    <row r="36" spans="1:6" hidden="1" x14ac:dyDescent="0.3">
      <c r="A36" t="s">
        <v>189</v>
      </c>
      <c r="B36" t="s">
        <v>67</v>
      </c>
      <c r="C36" t="s">
        <v>24</v>
      </c>
      <c r="D36">
        <v>2025</v>
      </c>
      <c r="E36" t="s">
        <v>36</v>
      </c>
      <c r="F36">
        <v>0</v>
      </c>
    </row>
    <row r="37" spans="1:6" hidden="1" x14ac:dyDescent="0.3">
      <c r="A37" t="s">
        <v>187</v>
      </c>
      <c r="B37" t="s">
        <v>67</v>
      </c>
      <c r="C37" t="s">
        <v>24</v>
      </c>
      <c r="D37">
        <v>2025</v>
      </c>
      <c r="E37" t="s">
        <v>36</v>
      </c>
      <c r="F37">
        <v>0</v>
      </c>
    </row>
    <row r="38" spans="1:6" hidden="1" x14ac:dyDescent="0.3">
      <c r="A38" t="s">
        <v>64</v>
      </c>
      <c r="B38" t="s">
        <v>67</v>
      </c>
      <c r="C38" t="s">
        <v>24</v>
      </c>
      <c r="D38">
        <v>2030</v>
      </c>
      <c r="E38" t="s">
        <v>36</v>
      </c>
      <c r="F38" s="10">
        <f>19000000*0.25</f>
        <v>4750000</v>
      </c>
    </row>
    <row r="39" spans="1:6" hidden="1" x14ac:dyDescent="0.3">
      <c r="A39" t="s">
        <v>65</v>
      </c>
      <c r="B39" t="s">
        <v>67</v>
      </c>
      <c r="C39" t="s">
        <v>24</v>
      </c>
      <c r="D39">
        <v>2030</v>
      </c>
      <c r="E39" t="s">
        <v>36</v>
      </c>
      <c r="F39" s="10">
        <f>19000000*0.5</f>
        <v>9500000</v>
      </c>
    </row>
    <row r="40" spans="1:6" hidden="1" x14ac:dyDescent="0.3">
      <c r="A40" t="s">
        <v>79</v>
      </c>
      <c r="B40" t="s">
        <v>67</v>
      </c>
      <c r="C40" t="s">
        <v>24</v>
      </c>
      <c r="D40">
        <v>2030</v>
      </c>
      <c r="E40" t="s">
        <v>36</v>
      </c>
      <c r="F40" s="10">
        <f>19000000*0.16</f>
        <v>3040000</v>
      </c>
    </row>
    <row r="41" spans="1:6" hidden="1" x14ac:dyDescent="0.3">
      <c r="A41" t="s">
        <v>66</v>
      </c>
      <c r="B41" t="s">
        <v>67</v>
      </c>
      <c r="C41" t="s">
        <v>24</v>
      </c>
      <c r="D41">
        <v>2030</v>
      </c>
      <c r="E41" t="s">
        <v>36</v>
      </c>
      <c r="F41">
        <f>19000000*0.09</f>
        <v>1710000</v>
      </c>
    </row>
    <row r="42" spans="1:6" hidden="1" x14ac:dyDescent="0.3">
      <c r="A42" t="s">
        <v>185</v>
      </c>
      <c r="B42" t="s">
        <v>67</v>
      </c>
      <c r="C42" t="s">
        <v>24</v>
      </c>
      <c r="D42">
        <v>2030</v>
      </c>
      <c r="E42" t="s">
        <v>36</v>
      </c>
      <c r="F42">
        <v>0</v>
      </c>
    </row>
    <row r="43" spans="1:6" hidden="1" x14ac:dyDescent="0.3">
      <c r="A43" t="s">
        <v>189</v>
      </c>
      <c r="B43" t="s">
        <v>67</v>
      </c>
      <c r="C43" t="s">
        <v>24</v>
      </c>
      <c r="D43">
        <v>2030</v>
      </c>
      <c r="E43" t="s">
        <v>36</v>
      </c>
      <c r="F43">
        <v>0</v>
      </c>
    </row>
    <row r="44" spans="1:6" hidden="1" x14ac:dyDescent="0.3">
      <c r="A44" t="s">
        <v>187</v>
      </c>
      <c r="B44" t="s">
        <v>67</v>
      </c>
      <c r="C44" t="s">
        <v>24</v>
      </c>
      <c r="D44">
        <v>2030</v>
      </c>
      <c r="E44" t="s">
        <v>36</v>
      </c>
      <c r="F44">
        <v>0</v>
      </c>
    </row>
    <row r="45" spans="1:6" hidden="1" x14ac:dyDescent="0.3">
      <c r="A45" t="s">
        <v>64</v>
      </c>
      <c r="B45" t="s">
        <v>67</v>
      </c>
      <c r="C45" t="s">
        <v>24</v>
      </c>
      <c r="D45">
        <v>2050</v>
      </c>
      <c r="E45" t="s">
        <v>36</v>
      </c>
      <c r="F45" s="10">
        <f>19000000*0.08</f>
        <v>1520000</v>
      </c>
    </row>
    <row r="46" spans="1:6" hidden="1" x14ac:dyDescent="0.3">
      <c r="A46" t="s">
        <v>65</v>
      </c>
      <c r="B46" t="s">
        <v>67</v>
      </c>
      <c r="C46" t="s">
        <v>24</v>
      </c>
      <c r="D46">
        <v>2050</v>
      </c>
      <c r="E46" t="s">
        <v>36</v>
      </c>
      <c r="F46" s="10">
        <f>19000000*0.1</f>
        <v>1900000</v>
      </c>
    </row>
    <row r="47" spans="1:6" hidden="1" x14ac:dyDescent="0.3">
      <c r="A47" t="s">
        <v>79</v>
      </c>
      <c r="B47" t="s">
        <v>67</v>
      </c>
      <c r="C47" t="s">
        <v>24</v>
      </c>
      <c r="D47">
        <v>2050</v>
      </c>
      <c r="E47" t="s">
        <v>36</v>
      </c>
      <c r="F47" s="10">
        <f>19000000*0.17</f>
        <v>3230000</v>
      </c>
    </row>
    <row r="48" spans="1:6" hidden="1" x14ac:dyDescent="0.3">
      <c r="A48" t="s">
        <v>66</v>
      </c>
      <c r="B48" t="s">
        <v>67</v>
      </c>
      <c r="C48" t="s">
        <v>24</v>
      </c>
      <c r="D48">
        <v>2050</v>
      </c>
      <c r="E48" t="s">
        <v>36</v>
      </c>
      <c r="F48">
        <f>19000000*0.4</f>
        <v>7600000</v>
      </c>
    </row>
    <row r="49" spans="1:6" hidden="1" x14ac:dyDescent="0.3">
      <c r="A49" t="s">
        <v>185</v>
      </c>
      <c r="B49" t="s">
        <v>67</v>
      </c>
      <c r="C49" t="s">
        <v>24</v>
      </c>
      <c r="D49">
        <v>2050</v>
      </c>
      <c r="E49" t="s">
        <v>36</v>
      </c>
      <c r="F49">
        <f>19000000*0.05</f>
        <v>950000</v>
      </c>
    </row>
    <row r="50" spans="1:6" hidden="1" x14ac:dyDescent="0.3">
      <c r="A50" t="s">
        <v>189</v>
      </c>
      <c r="B50" t="s">
        <v>67</v>
      </c>
      <c r="C50" t="s">
        <v>24</v>
      </c>
      <c r="D50">
        <v>2050</v>
      </c>
      <c r="E50" t="s">
        <v>36</v>
      </c>
      <c r="F50">
        <f>19000000*0.1</f>
        <v>1900000</v>
      </c>
    </row>
    <row r="51" spans="1:6" hidden="1" x14ac:dyDescent="0.3">
      <c r="A51" t="s">
        <v>187</v>
      </c>
      <c r="B51" t="s">
        <v>67</v>
      </c>
      <c r="C51" t="s">
        <v>24</v>
      </c>
      <c r="D51">
        <v>2050</v>
      </c>
      <c r="E51" t="s">
        <v>36</v>
      </c>
      <c r="F51">
        <f>19000000*0.1</f>
        <v>1900000</v>
      </c>
    </row>
    <row r="52" spans="1:6" hidden="1" x14ac:dyDescent="0.3">
      <c r="A52" t="s">
        <v>6</v>
      </c>
      <c r="B52" t="s">
        <v>60</v>
      </c>
      <c r="C52" t="s">
        <v>24</v>
      </c>
      <c r="D52">
        <v>2015</v>
      </c>
      <c r="E52" t="s">
        <v>85</v>
      </c>
      <c r="F52" s="10">
        <v>1381495.5640050694</v>
      </c>
    </row>
    <row r="53" spans="1:6" hidden="1" x14ac:dyDescent="0.3">
      <c r="A53" t="s">
        <v>6</v>
      </c>
      <c r="B53" t="s">
        <v>60</v>
      </c>
      <c r="C53" t="s">
        <v>24</v>
      </c>
      <c r="D53">
        <v>2020</v>
      </c>
      <c r="E53" t="s">
        <v>85</v>
      </c>
      <c r="F53" s="10">
        <v>1381495.5640050694</v>
      </c>
    </row>
    <row r="54" spans="1:6" hidden="1" x14ac:dyDescent="0.3">
      <c r="A54" t="s">
        <v>6</v>
      </c>
      <c r="B54" t="s">
        <v>60</v>
      </c>
      <c r="C54" t="s">
        <v>24</v>
      </c>
      <c r="D54">
        <v>2030</v>
      </c>
      <c r="E54" t="s">
        <v>85</v>
      </c>
      <c r="F54" s="10">
        <v>1381495.5640050694</v>
      </c>
    </row>
    <row r="55" spans="1:6" hidden="1" x14ac:dyDescent="0.3">
      <c r="A55" t="s">
        <v>6</v>
      </c>
      <c r="B55" t="s">
        <v>60</v>
      </c>
      <c r="C55" t="s">
        <v>24</v>
      </c>
      <c r="D55">
        <v>2040</v>
      </c>
      <c r="E55" t="s">
        <v>85</v>
      </c>
      <c r="F55" s="10">
        <v>1381495.5640050694</v>
      </c>
    </row>
    <row r="56" spans="1:6" hidden="1" x14ac:dyDescent="0.3">
      <c r="A56" t="s">
        <v>6</v>
      </c>
      <c r="B56" t="s">
        <v>60</v>
      </c>
      <c r="C56" t="s">
        <v>24</v>
      </c>
      <c r="D56">
        <v>2050</v>
      </c>
      <c r="E56" t="s">
        <v>85</v>
      </c>
      <c r="F56" s="10">
        <v>1381495.5640050694</v>
      </c>
    </row>
    <row r="57" spans="1:6" hidden="1" x14ac:dyDescent="0.3">
      <c r="A57" t="s">
        <v>6</v>
      </c>
      <c r="B57" t="s">
        <v>60</v>
      </c>
      <c r="C57" t="s">
        <v>25</v>
      </c>
      <c r="D57">
        <v>2015</v>
      </c>
      <c r="E57" t="s">
        <v>85</v>
      </c>
      <c r="F57" s="10">
        <v>23212927.756653991</v>
      </c>
    </row>
    <row r="58" spans="1:6" hidden="1" x14ac:dyDescent="0.3">
      <c r="A58" t="s">
        <v>6</v>
      </c>
      <c r="B58" t="s">
        <v>60</v>
      </c>
      <c r="C58" t="s">
        <v>25</v>
      </c>
      <c r="D58">
        <v>2020</v>
      </c>
      <c r="E58" t="s">
        <v>85</v>
      </c>
      <c r="F58" s="10">
        <v>23212927.756653991</v>
      </c>
    </row>
    <row r="59" spans="1:6" hidden="1" x14ac:dyDescent="0.3">
      <c r="A59" t="s">
        <v>6</v>
      </c>
      <c r="B59" t="s">
        <v>60</v>
      </c>
      <c r="C59" t="s">
        <v>25</v>
      </c>
      <c r="D59">
        <v>2030</v>
      </c>
      <c r="E59" t="s">
        <v>85</v>
      </c>
      <c r="F59" s="10">
        <v>23212927.756653991</v>
      </c>
    </row>
    <row r="60" spans="1:6" hidden="1" x14ac:dyDescent="0.3">
      <c r="A60" t="s">
        <v>6</v>
      </c>
      <c r="B60" t="s">
        <v>60</v>
      </c>
      <c r="C60" t="s">
        <v>25</v>
      </c>
      <c r="D60">
        <v>2040</v>
      </c>
      <c r="E60" t="s">
        <v>85</v>
      </c>
      <c r="F60" s="10">
        <v>23212927.756653991</v>
      </c>
    </row>
    <row r="61" spans="1:6" hidden="1" x14ac:dyDescent="0.3">
      <c r="A61" t="s">
        <v>6</v>
      </c>
      <c r="B61" t="s">
        <v>60</v>
      </c>
      <c r="C61" t="s">
        <v>25</v>
      </c>
      <c r="D61">
        <v>2050</v>
      </c>
      <c r="E61" t="s">
        <v>85</v>
      </c>
      <c r="F61" s="10">
        <v>23212927.756653991</v>
      </c>
    </row>
    <row r="62" spans="1:6" hidden="1" x14ac:dyDescent="0.3">
      <c r="A62" t="s">
        <v>6</v>
      </c>
      <c r="B62" t="s">
        <v>60</v>
      </c>
      <c r="C62" t="s">
        <v>87</v>
      </c>
      <c r="D62">
        <v>2015</v>
      </c>
      <c r="E62" t="s">
        <v>85</v>
      </c>
      <c r="F62" s="10">
        <v>9394169.8352344725</v>
      </c>
    </row>
    <row r="63" spans="1:6" hidden="1" x14ac:dyDescent="0.3">
      <c r="A63" t="s">
        <v>6</v>
      </c>
      <c r="B63" t="s">
        <v>60</v>
      </c>
      <c r="C63" t="s">
        <v>87</v>
      </c>
      <c r="D63">
        <v>2020</v>
      </c>
      <c r="E63" t="s">
        <v>85</v>
      </c>
      <c r="F63" s="10">
        <v>9394169.8352344725</v>
      </c>
    </row>
    <row r="64" spans="1:6" hidden="1" x14ac:dyDescent="0.3">
      <c r="A64" t="s">
        <v>6</v>
      </c>
      <c r="B64" t="s">
        <v>60</v>
      </c>
      <c r="C64" t="s">
        <v>87</v>
      </c>
      <c r="D64">
        <v>2030</v>
      </c>
      <c r="E64" t="s">
        <v>85</v>
      </c>
      <c r="F64" s="10">
        <v>9394169.8352344725</v>
      </c>
    </row>
    <row r="65" spans="1:6" hidden="1" x14ac:dyDescent="0.3">
      <c r="A65" t="s">
        <v>6</v>
      </c>
      <c r="B65" t="s">
        <v>60</v>
      </c>
      <c r="C65" t="s">
        <v>87</v>
      </c>
      <c r="D65">
        <v>2040</v>
      </c>
      <c r="E65" t="s">
        <v>85</v>
      </c>
      <c r="F65" s="10">
        <v>9394169.8352344725</v>
      </c>
    </row>
    <row r="66" spans="1:6" hidden="1" x14ac:dyDescent="0.3">
      <c r="A66" t="s">
        <v>6</v>
      </c>
      <c r="B66" t="s">
        <v>60</v>
      </c>
      <c r="C66" t="s">
        <v>87</v>
      </c>
      <c r="D66">
        <v>2050</v>
      </c>
      <c r="E66" t="s">
        <v>85</v>
      </c>
      <c r="F66" s="10">
        <v>9394169.8352344725</v>
      </c>
    </row>
    <row r="67" spans="1:6" hidden="1" x14ac:dyDescent="0.3">
      <c r="A67" t="s">
        <v>6</v>
      </c>
      <c r="B67" t="s">
        <v>60</v>
      </c>
      <c r="C67" t="s">
        <v>88</v>
      </c>
      <c r="D67">
        <v>2015</v>
      </c>
      <c r="E67" t="s">
        <v>85</v>
      </c>
      <c r="F67" s="10">
        <v>8390367.5538656525</v>
      </c>
    </row>
    <row r="68" spans="1:6" hidden="1" x14ac:dyDescent="0.3">
      <c r="A68" t="s">
        <v>6</v>
      </c>
      <c r="B68" t="s">
        <v>60</v>
      </c>
      <c r="C68" t="s">
        <v>88</v>
      </c>
      <c r="D68">
        <v>2020</v>
      </c>
      <c r="E68" t="s">
        <v>85</v>
      </c>
      <c r="F68" s="10">
        <v>8390367.5538656525</v>
      </c>
    </row>
    <row r="69" spans="1:6" hidden="1" x14ac:dyDescent="0.3">
      <c r="A69" t="s">
        <v>6</v>
      </c>
      <c r="B69" t="s">
        <v>60</v>
      </c>
      <c r="C69" t="s">
        <v>88</v>
      </c>
      <c r="D69">
        <v>2030</v>
      </c>
      <c r="E69" t="s">
        <v>85</v>
      </c>
      <c r="F69" s="10">
        <v>8390367.5538656525</v>
      </c>
    </row>
    <row r="70" spans="1:6" hidden="1" x14ac:dyDescent="0.3">
      <c r="A70" t="s">
        <v>6</v>
      </c>
      <c r="B70" t="s">
        <v>60</v>
      </c>
      <c r="C70" t="s">
        <v>88</v>
      </c>
      <c r="D70">
        <v>2040</v>
      </c>
      <c r="E70" t="s">
        <v>85</v>
      </c>
      <c r="F70" s="10">
        <v>8390367.5538656525</v>
      </c>
    </row>
    <row r="71" spans="1:6" hidden="1" x14ac:dyDescent="0.3">
      <c r="A71" t="s">
        <v>6</v>
      </c>
      <c r="B71" t="s">
        <v>60</v>
      </c>
      <c r="C71" t="s">
        <v>88</v>
      </c>
      <c r="D71">
        <v>2050</v>
      </c>
      <c r="E71" t="s">
        <v>85</v>
      </c>
      <c r="F71" s="10">
        <v>8390367.5538656525</v>
      </c>
    </row>
    <row r="72" spans="1:6" hidden="1" x14ac:dyDescent="0.3">
      <c r="A72" t="s">
        <v>6</v>
      </c>
      <c r="B72" t="s">
        <v>60</v>
      </c>
      <c r="C72" t="s">
        <v>89</v>
      </c>
      <c r="D72">
        <v>2015</v>
      </c>
      <c r="E72" t="s">
        <v>85</v>
      </c>
      <c r="F72" s="10">
        <v>14102661.596958175</v>
      </c>
    </row>
    <row r="73" spans="1:6" hidden="1" x14ac:dyDescent="0.3">
      <c r="A73" t="s">
        <v>6</v>
      </c>
      <c r="B73" t="s">
        <v>60</v>
      </c>
      <c r="C73" t="s">
        <v>89</v>
      </c>
      <c r="D73">
        <v>2020</v>
      </c>
      <c r="E73" t="s">
        <v>85</v>
      </c>
      <c r="F73" s="10">
        <v>14102661.596958175</v>
      </c>
    </row>
    <row r="74" spans="1:6" hidden="1" x14ac:dyDescent="0.3">
      <c r="A74" t="s">
        <v>6</v>
      </c>
      <c r="B74" t="s">
        <v>60</v>
      </c>
      <c r="C74" t="s">
        <v>89</v>
      </c>
      <c r="D74">
        <v>2030</v>
      </c>
      <c r="E74" t="s">
        <v>85</v>
      </c>
      <c r="F74" s="10">
        <v>14102661.596958175</v>
      </c>
    </row>
    <row r="75" spans="1:6" hidden="1" x14ac:dyDescent="0.3">
      <c r="A75" t="s">
        <v>6</v>
      </c>
      <c r="B75" t="s">
        <v>60</v>
      </c>
      <c r="C75" t="s">
        <v>89</v>
      </c>
      <c r="D75">
        <v>2040</v>
      </c>
      <c r="E75" t="s">
        <v>85</v>
      </c>
      <c r="F75" s="10">
        <v>14102661.596958175</v>
      </c>
    </row>
    <row r="76" spans="1:6" hidden="1" x14ac:dyDescent="0.3">
      <c r="A76" t="s">
        <v>6</v>
      </c>
      <c r="B76" t="s">
        <v>60</v>
      </c>
      <c r="C76" t="s">
        <v>89</v>
      </c>
      <c r="D76">
        <v>2050</v>
      </c>
      <c r="E76" t="s">
        <v>85</v>
      </c>
      <c r="F76" s="10">
        <v>14102661.596958175</v>
      </c>
    </row>
    <row r="77" spans="1:6" hidden="1" x14ac:dyDescent="0.3">
      <c r="A77" t="s">
        <v>6</v>
      </c>
      <c r="B77" t="s">
        <v>60</v>
      </c>
      <c r="C77" t="s">
        <v>90</v>
      </c>
      <c r="D77">
        <v>2015</v>
      </c>
      <c r="E77" t="s">
        <v>85</v>
      </c>
      <c r="F77" s="10">
        <v>1381495.5640050694</v>
      </c>
    </row>
    <row r="78" spans="1:6" hidden="1" x14ac:dyDescent="0.3">
      <c r="A78" t="s">
        <v>6</v>
      </c>
      <c r="B78" t="s">
        <v>60</v>
      </c>
      <c r="C78" t="s">
        <v>90</v>
      </c>
      <c r="D78">
        <v>2020</v>
      </c>
      <c r="E78" t="s">
        <v>85</v>
      </c>
      <c r="F78" s="10">
        <v>1381495.5640050694</v>
      </c>
    </row>
    <row r="79" spans="1:6" hidden="1" x14ac:dyDescent="0.3">
      <c r="A79" t="s">
        <v>6</v>
      </c>
      <c r="B79" t="s">
        <v>60</v>
      </c>
      <c r="C79" t="s">
        <v>90</v>
      </c>
      <c r="D79">
        <v>2030</v>
      </c>
      <c r="E79" t="s">
        <v>85</v>
      </c>
      <c r="F79" s="10">
        <v>1381495.5640050694</v>
      </c>
    </row>
    <row r="80" spans="1:6" hidden="1" x14ac:dyDescent="0.3">
      <c r="A80" t="s">
        <v>6</v>
      </c>
      <c r="B80" t="s">
        <v>60</v>
      </c>
      <c r="C80" t="s">
        <v>90</v>
      </c>
      <c r="D80">
        <v>2040</v>
      </c>
      <c r="E80" t="s">
        <v>85</v>
      </c>
      <c r="F80" s="10">
        <v>1381495.5640050694</v>
      </c>
    </row>
    <row r="81" spans="1:6" hidden="1" x14ac:dyDescent="0.3">
      <c r="A81" t="s">
        <v>6</v>
      </c>
      <c r="B81" t="s">
        <v>60</v>
      </c>
      <c r="C81" t="s">
        <v>90</v>
      </c>
      <c r="D81">
        <v>2050</v>
      </c>
      <c r="E81" t="s">
        <v>85</v>
      </c>
      <c r="F81" s="10">
        <v>1381495.5640050694</v>
      </c>
    </row>
    <row r="82" spans="1:6" hidden="1" x14ac:dyDescent="0.3">
      <c r="A82" t="s">
        <v>84</v>
      </c>
      <c r="B82" t="s">
        <v>60</v>
      </c>
      <c r="C82" t="s">
        <v>24</v>
      </c>
      <c r="D82">
        <v>2015</v>
      </c>
      <c r="E82" t="s">
        <v>85</v>
      </c>
      <c r="F82" s="10">
        <v>5760593.2203389825</v>
      </c>
    </row>
    <row r="83" spans="1:6" hidden="1" x14ac:dyDescent="0.3">
      <c r="A83" t="s">
        <v>84</v>
      </c>
      <c r="B83" t="s">
        <v>60</v>
      </c>
      <c r="C83" t="s">
        <v>24</v>
      </c>
      <c r="D83">
        <v>2020</v>
      </c>
      <c r="E83" t="s">
        <v>85</v>
      </c>
      <c r="F83" s="10">
        <v>5760593.2203389825</v>
      </c>
    </row>
    <row r="84" spans="1:6" hidden="1" x14ac:dyDescent="0.3">
      <c r="A84" t="s">
        <v>84</v>
      </c>
      <c r="B84" t="s">
        <v>60</v>
      </c>
      <c r="C84" t="s">
        <v>24</v>
      </c>
      <c r="D84">
        <v>2030</v>
      </c>
      <c r="E84" t="s">
        <v>85</v>
      </c>
      <c r="F84" s="10">
        <v>5760593.2203389825</v>
      </c>
    </row>
    <row r="85" spans="1:6" hidden="1" x14ac:dyDescent="0.3">
      <c r="A85" t="s">
        <v>84</v>
      </c>
      <c r="B85" t="s">
        <v>60</v>
      </c>
      <c r="C85" t="s">
        <v>24</v>
      </c>
      <c r="D85">
        <v>2040</v>
      </c>
      <c r="E85" t="s">
        <v>85</v>
      </c>
      <c r="F85" s="10">
        <v>5760593.2203389825</v>
      </c>
    </row>
    <row r="86" spans="1:6" hidden="1" x14ac:dyDescent="0.3">
      <c r="A86" t="s">
        <v>84</v>
      </c>
      <c r="B86" t="s">
        <v>60</v>
      </c>
      <c r="C86" t="s">
        <v>24</v>
      </c>
      <c r="D86">
        <v>2050</v>
      </c>
      <c r="E86" t="s">
        <v>85</v>
      </c>
      <c r="F86" s="10">
        <v>5760593.2203389825</v>
      </c>
    </row>
    <row r="87" spans="1:6" hidden="1" x14ac:dyDescent="0.3">
      <c r="A87" t="s">
        <v>84</v>
      </c>
      <c r="B87" t="s">
        <v>60</v>
      </c>
      <c r="C87" t="s">
        <v>25</v>
      </c>
      <c r="D87">
        <v>2015</v>
      </c>
      <c r="E87" t="s">
        <v>85</v>
      </c>
      <c r="F87" s="10">
        <v>4684322.0338983051</v>
      </c>
    </row>
    <row r="88" spans="1:6" hidden="1" x14ac:dyDescent="0.3">
      <c r="A88" t="s">
        <v>84</v>
      </c>
      <c r="B88" t="s">
        <v>60</v>
      </c>
      <c r="C88" t="s">
        <v>25</v>
      </c>
      <c r="D88">
        <v>2020</v>
      </c>
      <c r="E88" t="s">
        <v>85</v>
      </c>
      <c r="F88" s="10">
        <v>4684322.0338983051</v>
      </c>
    </row>
    <row r="89" spans="1:6" hidden="1" x14ac:dyDescent="0.3">
      <c r="A89" t="s">
        <v>84</v>
      </c>
      <c r="B89" t="s">
        <v>60</v>
      </c>
      <c r="C89" t="s">
        <v>25</v>
      </c>
      <c r="D89">
        <v>2030</v>
      </c>
      <c r="E89" t="s">
        <v>85</v>
      </c>
      <c r="F89" s="10">
        <v>4684322.0338983051</v>
      </c>
    </row>
    <row r="90" spans="1:6" hidden="1" x14ac:dyDescent="0.3">
      <c r="A90" t="s">
        <v>84</v>
      </c>
      <c r="B90" t="s">
        <v>60</v>
      </c>
      <c r="C90" t="s">
        <v>25</v>
      </c>
      <c r="D90">
        <v>2040</v>
      </c>
      <c r="E90" t="s">
        <v>85</v>
      </c>
      <c r="F90" s="10">
        <v>4684322.0338983051</v>
      </c>
    </row>
    <row r="91" spans="1:6" hidden="1" x14ac:dyDescent="0.3">
      <c r="A91" t="s">
        <v>84</v>
      </c>
      <c r="B91" t="s">
        <v>60</v>
      </c>
      <c r="C91" t="s">
        <v>25</v>
      </c>
      <c r="D91">
        <v>2050</v>
      </c>
      <c r="E91" t="s">
        <v>85</v>
      </c>
      <c r="F91" s="10">
        <v>4684322.0338983051</v>
      </c>
    </row>
    <row r="92" spans="1:6" hidden="1" x14ac:dyDescent="0.3">
      <c r="A92" t="s">
        <v>84</v>
      </c>
      <c r="B92" t="s">
        <v>60</v>
      </c>
      <c r="C92" t="s">
        <v>87</v>
      </c>
      <c r="D92">
        <v>2015</v>
      </c>
      <c r="E92" t="s">
        <v>85</v>
      </c>
      <c r="F92" s="10">
        <v>3809322.0338983051</v>
      </c>
    </row>
    <row r="93" spans="1:6" hidden="1" x14ac:dyDescent="0.3">
      <c r="A93" t="s">
        <v>84</v>
      </c>
      <c r="B93" t="s">
        <v>60</v>
      </c>
      <c r="C93" t="s">
        <v>87</v>
      </c>
      <c r="D93">
        <v>2020</v>
      </c>
      <c r="E93" t="s">
        <v>85</v>
      </c>
      <c r="F93" s="10">
        <v>3809322.0338983051</v>
      </c>
    </row>
    <row r="94" spans="1:6" hidden="1" x14ac:dyDescent="0.3">
      <c r="A94" t="s">
        <v>84</v>
      </c>
      <c r="B94" t="s">
        <v>60</v>
      </c>
      <c r="C94" t="s">
        <v>87</v>
      </c>
      <c r="D94">
        <v>2030</v>
      </c>
      <c r="E94" t="s">
        <v>85</v>
      </c>
      <c r="F94" s="10">
        <v>3809322.0338983051</v>
      </c>
    </row>
    <row r="95" spans="1:6" hidden="1" x14ac:dyDescent="0.3">
      <c r="A95" t="s">
        <v>84</v>
      </c>
      <c r="B95" t="s">
        <v>60</v>
      </c>
      <c r="C95" t="s">
        <v>87</v>
      </c>
      <c r="D95">
        <v>2040</v>
      </c>
      <c r="E95" t="s">
        <v>85</v>
      </c>
      <c r="F95" s="10">
        <v>3809322.0338983051</v>
      </c>
    </row>
    <row r="96" spans="1:6" hidden="1" x14ac:dyDescent="0.3">
      <c r="A96" t="s">
        <v>84</v>
      </c>
      <c r="B96" t="s">
        <v>60</v>
      </c>
      <c r="C96" t="s">
        <v>87</v>
      </c>
      <c r="D96">
        <v>2050</v>
      </c>
      <c r="E96" t="s">
        <v>85</v>
      </c>
      <c r="F96" s="10">
        <v>3809322.0338983051</v>
      </c>
    </row>
    <row r="97" spans="1:6" hidden="1" x14ac:dyDescent="0.3">
      <c r="A97" t="s">
        <v>84</v>
      </c>
      <c r="B97" t="s">
        <v>60</v>
      </c>
      <c r="C97" t="s">
        <v>88</v>
      </c>
      <c r="D97">
        <v>2015</v>
      </c>
      <c r="E97" t="s">
        <v>85</v>
      </c>
      <c r="F97" s="10">
        <v>5112288.1355932206</v>
      </c>
    </row>
    <row r="98" spans="1:6" hidden="1" x14ac:dyDescent="0.3">
      <c r="A98" t="s">
        <v>84</v>
      </c>
      <c r="B98" t="s">
        <v>60</v>
      </c>
      <c r="C98" t="s">
        <v>88</v>
      </c>
      <c r="D98">
        <v>2020</v>
      </c>
      <c r="E98" t="s">
        <v>85</v>
      </c>
      <c r="F98" s="10">
        <v>5112288.1355932206</v>
      </c>
    </row>
    <row r="99" spans="1:6" hidden="1" x14ac:dyDescent="0.3">
      <c r="A99" t="s">
        <v>84</v>
      </c>
      <c r="B99" t="s">
        <v>60</v>
      </c>
      <c r="C99" t="s">
        <v>88</v>
      </c>
      <c r="D99">
        <v>2030</v>
      </c>
      <c r="E99" t="s">
        <v>85</v>
      </c>
      <c r="F99" s="10">
        <v>5112288.1355932206</v>
      </c>
    </row>
    <row r="100" spans="1:6" hidden="1" x14ac:dyDescent="0.3">
      <c r="A100" t="s">
        <v>84</v>
      </c>
      <c r="B100" t="s">
        <v>60</v>
      </c>
      <c r="C100" t="s">
        <v>88</v>
      </c>
      <c r="D100">
        <v>2040</v>
      </c>
      <c r="E100" t="s">
        <v>85</v>
      </c>
      <c r="F100" s="10">
        <v>5112288.1355932206</v>
      </c>
    </row>
    <row r="101" spans="1:6" hidden="1" x14ac:dyDescent="0.3">
      <c r="A101" t="s">
        <v>84</v>
      </c>
      <c r="B101" t="s">
        <v>60</v>
      </c>
      <c r="C101" t="s">
        <v>88</v>
      </c>
      <c r="D101">
        <v>2050</v>
      </c>
      <c r="E101" t="s">
        <v>85</v>
      </c>
      <c r="F101" s="10">
        <v>5112288.1355932206</v>
      </c>
    </row>
    <row r="102" spans="1:6" hidden="1" x14ac:dyDescent="0.3">
      <c r="A102" t="s">
        <v>84</v>
      </c>
      <c r="B102" t="s">
        <v>60</v>
      </c>
      <c r="C102" t="s">
        <v>89</v>
      </c>
      <c r="D102">
        <v>2015</v>
      </c>
      <c r="E102" t="s">
        <v>85</v>
      </c>
      <c r="F102" s="10">
        <v>4565677.9661016949</v>
      </c>
    </row>
    <row r="103" spans="1:6" hidden="1" x14ac:dyDescent="0.3">
      <c r="A103" t="s">
        <v>84</v>
      </c>
      <c r="B103" t="s">
        <v>60</v>
      </c>
      <c r="C103" t="s">
        <v>89</v>
      </c>
      <c r="D103">
        <v>2020</v>
      </c>
      <c r="E103" t="s">
        <v>85</v>
      </c>
      <c r="F103" s="10">
        <v>4565677.9661016949</v>
      </c>
    </row>
    <row r="104" spans="1:6" hidden="1" x14ac:dyDescent="0.3">
      <c r="A104" t="s">
        <v>84</v>
      </c>
      <c r="B104" t="s">
        <v>60</v>
      </c>
      <c r="C104" t="s">
        <v>89</v>
      </c>
      <c r="D104">
        <v>2030</v>
      </c>
      <c r="E104" t="s">
        <v>85</v>
      </c>
      <c r="F104" s="10">
        <v>4565677.9661016949</v>
      </c>
    </row>
    <row r="105" spans="1:6" hidden="1" x14ac:dyDescent="0.3">
      <c r="A105" t="s">
        <v>84</v>
      </c>
      <c r="B105" t="s">
        <v>60</v>
      </c>
      <c r="C105" t="s">
        <v>89</v>
      </c>
      <c r="D105">
        <v>2040</v>
      </c>
      <c r="E105" t="s">
        <v>85</v>
      </c>
      <c r="F105" s="10">
        <v>4565677.9661016949</v>
      </c>
    </row>
    <row r="106" spans="1:6" hidden="1" x14ac:dyDescent="0.3">
      <c r="A106" t="s">
        <v>84</v>
      </c>
      <c r="B106" t="s">
        <v>60</v>
      </c>
      <c r="C106" t="s">
        <v>89</v>
      </c>
      <c r="D106">
        <v>2050</v>
      </c>
      <c r="E106" t="s">
        <v>85</v>
      </c>
      <c r="F106" s="10">
        <v>4565677.9661016949</v>
      </c>
    </row>
    <row r="107" spans="1:6" hidden="1" x14ac:dyDescent="0.3">
      <c r="A107" t="s">
        <v>84</v>
      </c>
      <c r="B107" t="s">
        <v>60</v>
      </c>
      <c r="C107" t="s">
        <v>90</v>
      </c>
      <c r="D107">
        <v>2015</v>
      </c>
      <c r="E107" t="s">
        <v>85</v>
      </c>
      <c r="F107" s="10">
        <v>891949.15254237293</v>
      </c>
    </row>
    <row r="108" spans="1:6" hidden="1" x14ac:dyDescent="0.3">
      <c r="A108" t="s">
        <v>84</v>
      </c>
      <c r="B108" t="s">
        <v>60</v>
      </c>
      <c r="C108" t="s">
        <v>90</v>
      </c>
      <c r="D108">
        <v>2020</v>
      </c>
      <c r="E108" t="s">
        <v>85</v>
      </c>
      <c r="F108" s="10">
        <v>891949.15254237293</v>
      </c>
    </row>
    <row r="109" spans="1:6" hidden="1" x14ac:dyDescent="0.3">
      <c r="A109" t="s">
        <v>84</v>
      </c>
      <c r="B109" t="s">
        <v>60</v>
      </c>
      <c r="C109" t="s">
        <v>90</v>
      </c>
      <c r="D109">
        <v>2030</v>
      </c>
      <c r="E109" t="s">
        <v>85</v>
      </c>
      <c r="F109" s="10">
        <v>891949.15254237293</v>
      </c>
    </row>
    <row r="110" spans="1:6" hidden="1" x14ac:dyDescent="0.3">
      <c r="A110" t="s">
        <v>84</v>
      </c>
      <c r="B110" t="s">
        <v>60</v>
      </c>
      <c r="C110" t="s">
        <v>90</v>
      </c>
      <c r="D110">
        <v>2040</v>
      </c>
      <c r="E110" t="s">
        <v>85</v>
      </c>
      <c r="F110" s="10">
        <v>891949.15254237293</v>
      </c>
    </row>
    <row r="111" spans="1:6" hidden="1" x14ac:dyDescent="0.3">
      <c r="A111" t="s">
        <v>84</v>
      </c>
      <c r="B111" t="s">
        <v>60</v>
      </c>
      <c r="C111" t="s">
        <v>90</v>
      </c>
      <c r="D111">
        <v>2050</v>
      </c>
      <c r="E111" t="s">
        <v>85</v>
      </c>
      <c r="F111" s="10">
        <v>891949.15254237293</v>
      </c>
    </row>
    <row r="112" spans="1:6" hidden="1" x14ac:dyDescent="0.3">
      <c r="A112" t="s">
        <v>6</v>
      </c>
      <c r="C112" t="s">
        <v>24</v>
      </c>
      <c r="D112">
        <v>2015</v>
      </c>
      <c r="E112" t="s">
        <v>23</v>
      </c>
      <c r="F112">
        <v>187.57874734722378</v>
      </c>
    </row>
    <row r="113" spans="1:6" hidden="1" x14ac:dyDescent="0.3">
      <c r="A113" t="s">
        <v>6</v>
      </c>
      <c r="C113" t="s">
        <v>24</v>
      </c>
      <c r="D113">
        <v>2050</v>
      </c>
      <c r="E113" t="s">
        <v>23</v>
      </c>
      <c r="F113">
        <v>153.85465108972713</v>
      </c>
    </row>
    <row r="114" spans="1:6" hidden="1" x14ac:dyDescent="0.3">
      <c r="A114" t="s">
        <v>6</v>
      </c>
      <c r="C114" t="s">
        <v>25</v>
      </c>
      <c r="D114">
        <v>2015</v>
      </c>
      <c r="E114" t="s">
        <v>23</v>
      </c>
      <c r="F114">
        <v>232.76620377870407</v>
      </c>
    </row>
    <row r="115" spans="1:6" hidden="1" x14ac:dyDescent="0.3">
      <c r="A115" t="s">
        <v>6</v>
      </c>
      <c r="C115" t="s">
        <v>25</v>
      </c>
      <c r="D115">
        <v>2050</v>
      </c>
      <c r="E115" t="s">
        <v>23</v>
      </c>
      <c r="F115">
        <v>183.25254972589138</v>
      </c>
    </row>
    <row r="116" spans="1:6" hidden="1" x14ac:dyDescent="0.3">
      <c r="A116" t="s">
        <v>6</v>
      </c>
      <c r="C116" t="s">
        <v>87</v>
      </c>
      <c r="D116">
        <v>2015</v>
      </c>
      <c r="E116" t="s">
        <v>23</v>
      </c>
      <c r="F116">
        <v>200.04802385568578</v>
      </c>
    </row>
    <row r="117" spans="1:6" hidden="1" x14ac:dyDescent="0.3">
      <c r="A117" t="s">
        <v>6</v>
      </c>
      <c r="C117" t="s">
        <v>87</v>
      </c>
      <c r="D117">
        <v>2050</v>
      </c>
      <c r="E117" t="s">
        <v>23</v>
      </c>
      <c r="F117">
        <v>173.97171154417904</v>
      </c>
    </row>
    <row r="118" spans="1:6" hidden="1" x14ac:dyDescent="0.3">
      <c r="A118" t="s">
        <v>6</v>
      </c>
      <c r="C118" t="s">
        <v>88</v>
      </c>
      <c r="D118">
        <v>2015</v>
      </c>
      <c r="E118" t="s">
        <v>23</v>
      </c>
      <c r="F118">
        <v>199.33800178205163</v>
      </c>
    </row>
    <row r="119" spans="1:6" hidden="1" x14ac:dyDescent="0.3">
      <c r="A119" t="s">
        <v>6</v>
      </c>
      <c r="C119" t="s">
        <v>88</v>
      </c>
      <c r="D119">
        <v>2050</v>
      </c>
      <c r="E119" t="s">
        <v>23</v>
      </c>
      <c r="F119">
        <v>196.07905882255494</v>
      </c>
    </row>
    <row r="120" spans="1:6" hidden="1" x14ac:dyDescent="0.3">
      <c r="A120" t="s">
        <v>6</v>
      </c>
      <c r="C120" t="s">
        <v>89</v>
      </c>
      <c r="D120">
        <v>2015</v>
      </c>
      <c r="E120" t="s">
        <v>23</v>
      </c>
      <c r="F120">
        <v>191.88651995265312</v>
      </c>
    </row>
    <row r="121" spans="1:6" hidden="1" x14ac:dyDescent="0.3">
      <c r="A121" t="s">
        <v>6</v>
      </c>
      <c r="C121" t="s">
        <v>89</v>
      </c>
      <c r="D121">
        <v>2050</v>
      </c>
      <c r="E121" t="s">
        <v>23</v>
      </c>
      <c r="F121">
        <v>167.51963925025794</v>
      </c>
    </row>
    <row r="122" spans="1:6" hidden="1" x14ac:dyDescent="0.3">
      <c r="A122" t="s">
        <v>6</v>
      </c>
      <c r="C122" t="s">
        <v>90</v>
      </c>
      <c r="D122">
        <v>2015</v>
      </c>
      <c r="E122" t="s">
        <v>23</v>
      </c>
      <c r="F122">
        <v>181.58565830834576</v>
      </c>
    </row>
    <row r="123" spans="1:6" hidden="1" x14ac:dyDescent="0.3">
      <c r="A123" t="s">
        <v>6</v>
      </c>
      <c r="C123" t="s">
        <v>90</v>
      </c>
      <c r="D123">
        <v>2050</v>
      </c>
      <c r="E123" t="s">
        <v>23</v>
      </c>
      <c r="F123">
        <v>177.45009028689171</v>
      </c>
    </row>
    <row r="124" spans="1:6" hidden="1" x14ac:dyDescent="0.3">
      <c r="A124" t="s">
        <v>8</v>
      </c>
      <c r="C124" t="s">
        <v>24</v>
      </c>
      <c r="D124">
        <v>2015</v>
      </c>
      <c r="E124" t="s">
        <v>23</v>
      </c>
      <c r="F124">
        <v>75</v>
      </c>
    </row>
    <row r="125" spans="1:6" hidden="1" x14ac:dyDescent="0.3">
      <c r="A125" t="s">
        <v>8</v>
      </c>
      <c r="C125" t="s">
        <v>24</v>
      </c>
      <c r="D125">
        <v>2050</v>
      </c>
      <c r="E125" t="s">
        <v>23</v>
      </c>
      <c r="F125">
        <v>70</v>
      </c>
    </row>
    <row r="126" spans="1:6" hidden="1" x14ac:dyDescent="0.3">
      <c r="A126" t="s">
        <v>5</v>
      </c>
      <c r="D126">
        <v>2015</v>
      </c>
      <c r="E126" t="s">
        <v>23</v>
      </c>
      <c r="F126">
        <v>60</v>
      </c>
    </row>
    <row r="127" spans="1:6" hidden="1" x14ac:dyDescent="0.3">
      <c r="A127" t="s">
        <v>5</v>
      </c>
      <c r="D127">
        <v>2050</v>
      </c>
      <c r="E127" t="s">
        <v>23</v>
      </c>
      <c r="F127">
        <v>120</v>
      </c>
    </row>
    <row r="128" spans="1:6" hidden="1" x14ac:dyDescent="0.3">
      <c r="A128" t="s">
        <v>9</v>
      </c>
      <c r="D128">
        <v>2015</v>
      </c>
      <c r="E128" t="s">
        <v>23</v>
      </c>
      <c r="F128">
        <v>495</v>
      </c>
    </row>
    <row r="129" spans="1:6" hidden="1" x14ac:dyDescent="0.3">
      <c r="A129" t="s">
        <v>9</v>
      </c>
      <c r="D129">
        <v>2050</v>
      </c>
      <c r="E129" t="s">
        <v>23</v>
      </c>
      <c r="F129">
        <v>742.5</v>
      </c>
    </row>
    <row r="130" spans="1:6" hidden="1" x14ac:dyDescent="0.3">
      <c r="A130" t="s">
        <v>7</v>
      </c>
      <c r="D130">
        <v>2015</v>
      </c>
      <c r="E130" t="s">
        <v>23</v>
      </c>
      <c r="F130">
        <v>664</v>
      </c>
    </row>
    <row r="131" spans="1:6" hidden="1" x14ac:dyDescent="0.3">
      <c r="A131" t="s">
        <v>7</v>
      </c>
      <c r="D131">
        <v>2050</v>
      </c>
      <c r="E131" t="s">
        <v>23</v>
      </c>
      <c r="F131">
        <v>664</v>
      </c>
    </row>
    <row r="132" spans="1:6" hidden="1" x14ac:dyDescent="0.3">
      <c r="A132" t="s">
        <v>84</v>
      </c>
      <c r="C132" t="s">
        <v>24</v>
      </c>
      <c r="D132">
        <v>2015</v>
      </c>
      <c r="E132" t="s">
        <v>23</v>
      </c>
      <c r="F132">
        <v>11.468528870908424</v>
      </c>
    </row>
    <row r="133" spans="1:6" hidden="1" x14ac:dyDescent="0.3">
      <c r="A133" t="s">
        <v>84</v>
      </c>
      <c r="C133" t="s">
        <v>24</v>
      </c>
      <c r="D133">
        <v>2050</v>
      </c>
      <c r="E133" t="s">
        <v>23</v>
      </c>
      <c r="F133">
        <v>11.468528870908424</v>
      </c>
    </row>
    <row r="134" spans="1:6" hidden="1" x14ac:dyDescent="0.3">
      <c r="A134" t="s">
        <v>26</v>
      </c>
      <c r="E134" t="s">
        <v>23</v>
      </c>
      <c r="F134">
        <v>700</v>
      </c>
    </row>
    <row r="135" spans="1:6" hidden="1" x14ac:dyDescent="0.3">
      <c r="A135" t="s">
        <v>76</v>
      </c>
      <c r="C135" t="s">
        <v>24</v>
      </c>
      <c r="D135">
        <v>2015</v>
      </c>
      <c r="E135" t="s">
        <v>23</v>
      </c>
      <c r="F135">
        <v>20</v>
      </c>
    </row>
    <row r="136" spans="1:6" hidden="1" x14ac:dyDescent="0.3">
      <c r="A136" t="s">
        <v>76</v>
      </c>
      <c r="C136" t="s">
        <v>24</v>
      </c>
      <c r="D136">
        <v>2050</v>
      </c>
      <c r="E136" t="s">
        <v>23</v>
      </c>
      <c r="F136">
        <v>20</v>
      </c>
    </row>
    <row r="137" spans="1:6" hidden="1" x14ac:dyDescent="0.3">
      <c r="A137" t="s">
        <v>37</v>
      </c>
      <c r="C137" t="s">
        <v>24</v>
      </c>
      <c r="D137">
        <v>2015</v>
      </c>
      <c r="E137" t="s">
        <v>23</v>
      </c>
      <c r="F137">
        <v>100</v>
      </c>
    </row>
    <row r="138" spans="1:6" hidden="1" x14ac:dyDescent="0.3">
      <c r="A138" t="s">
        <v>37</v>
      </c>
      <c r="C138" t="s">
        <v>24</v>
      </c>
      <c r="D138">
        <v>2050</v>
      </c>
      <c r="E138" t="s">
        <v>23</v>
      </c>
      <c r="F138">
        <v>100</v>
      </c>
    </row>
    <row r="139" spans="1:6" hidden="1" x14ac:dyDescent="0.3">
      <c r="A139" t="s">
        <v>16</v>
      </c>
      <c r="C139" t="s">
        <v>24</v>
      </c>
      <c r="D139">
        <v>2015</v>
      </c>
      <c r="E139" t="s">
        <v>23</v>
      </c>
      <c r="F139">
        <v>180</v>
      </c>
    </row>
    <row r="140" spans="1:6" hidden="1" x14ac:dyDescent="0.3">
      <c r="A140" t="s">
        <v>16</v>
      </c>
      <c r="C140" t="s">
        <v>24</v>
      </c>
      <c r="D140">
        <v>2020</v>
      </c>
      <c r="E140" t="s">
        <v>23</v>
      </c>
      <c r="F140">
        <v>180</v>
      </c>
    </row>
    <row r="141" spans="1:6" hidden="1" x14ac:dyDescent="0.3">
      <c r="A141" t="s">
        <v>16</v>
      </c>
      <c r="C141" t="s">
        <v>24</v>
      </c>
      <c r="D141">
        <v>2030</v>
      </c>
      <c r="E141" t="s">
        <v>23</v>
      </c>
      <c r="F141">
        <v>180</v>
      </c>
    </row>
    <row r="142" spans="1:6" hidden="1" x14ac:dyDescent="0.3">
      <c r="A142" t="s">
        <v>16</v>
      </c>
      <c r="C142" t="s">
        <v>24</v>
      </c>
      <c r="D142">
        <v>2040</v>
      </c>
      <c r="E142" t="s">
        <v>23</v>
      </c>
      <c r="F142">
        <v>180</v>
      </c>
    </row>
    <row r="143" spans="1:6" hidden="1" x14ac:dyDescent="0.3">
      <c r="A143" t="s">
        <v>16</v>
      </c>
      <c r="C143" t="s">
        <v>24</v>
      </c>
      <c r="D143">
        <v>2050</v>
      </c>
      <c r="E143" t="s">
        <v>23</v>
      </c>
      <c r="F143">
        <v>180</v>
      </c>
    </row>
    <row r="144" spans="1:6" hidden="1" x14ac:dyDescent="0.3">
      <c r="A144" t="s">
        <v>8</v>
      </c>
      <c r="C144" t="s">
        <v>25</v>
      </c>
      <c r="D144">
        <v>2015</v>
      </c>
      <c r="E144" t="s">
        <v>23</v>
      </c>
      <c r="F144">
        <v>125</v>
      </c>
    </row>
    <row r="145" spans="1:6" hidden="1" x14ac:dyDescent="0.3">
      <c r="A145" t="s">
        <v>8</v>
      </c>
      <c r="C145" t="s">
        <v>25</v>
      </c>
      <c r="D145">
        <v>2050</v>
      </c>
      <c r="E145" t="s">
        <v>23</v>
      </c>
      <c r="F145">
        <v>70</v>
      </c>
    </row>
    <row r="146" spans="1:6" hidden="1" x14ac:dyDescent="0.3">
      <c r="A146" t="s">
        <v>84</v>
      </c>
      <c r="C146" t="s">
        <v>25</v>
      </c>
      <c r="D146">
        <v>2015</v>
      </c>
      <c r="E146" t="s">
        <v>23</v>
      </c>
      <c r="F146">
        <v>13.212048846675714</v>
      </c>
    </row>
    <row r="147" spans="1:6" hidden="1" x14ac:dyDescent="0.3">
      <c r="A147" t="s">
        <v>84</v>
      </c>
      <c r="C147" t="s">
        <v>25</v>
      </c>
      <c r="D147">
        <v>2050</v>
      </c>
      <c r="E147" t="s">
        <v>23</v>
      </c>
      <c r="F147">
        <v>13.212048846675714</v>
      </c>
    </row>
    <row r="148" spans="1:6" hidden="1" x14ac:dyDescent="0.3">
      <c r="A148" t="s">
        <v>76</v>
      </c>
      <c r="C148" t="s">
        <v>25</v>
      </c>
      <c r="D148">
        <v>2015</v>
      </c>
      <c r="E148" t="s">
        <v>23</v>
      </c>
      <c r="F148">
        <v>20</v>
      </c>
    </row>
    <row r="149" spans="1:6" hidden="1" x14ac:dyDescent="0.3">
      <c r="A149" t="s">
        <v>76</v>
      </c>
      <c r="C149" t="s">
        <v>25</v>
      </c>
      <c r="D149">
        <v>2050</v>
      </c>
      <c r="E149" t="s">
        <v>23</v>
      </c>
      <c r="F149">
        <v>20</v>
      </c>
    </row>
    <row r="150" spans="1:6" hidden="1" x14ac:dyDescent="0.3">
      <c r="A150" t="s">
        <v>37</v>
      </c>
      <c r="C150" t="s">
        <v>25</v>
      </c>
      <c r="D150">
        <v>2015</v>
      </c>
      <c r="E150" t="s">
        <v>23</v>
      </c>
      <c r="F150">
        <v>100</v>
      </c>
    </row>
    <row r="151" spans="1:6" hidden="1" x14ac:dyDescent="0.3">
      <c r="A151" t="s">
        <v>37</v>
      </c>
      <c r="C151" t="s">
        <v>25</v>
      </c>
      <c r="D151">
        <v>2050</v>
      </c>
      <c r="E151" t="s">
        <v>23</v>
      </c>
      <c r="F151">
        <v>100</v>
      </c>
    </row>
    <row r="152" spans="1:6" hidden="1" x14ac:dyDescent="0.3">
      <c r="A152" t="s">
        <v>16</v>
      </c>
      <c r="C152" t="s">
        <v>25</v>
      </c>
      <c r="D152">
        <v>2015</v>
      </c>
      <c r="E152" t="s">
        <v>23</v>
      </c>
      <c r="F152">
        <v>180</v>
      </c>
    </row>
    <row r="153" spans="1:6" hidden="1" x14ac:dyDescent="0.3">
      <c r="A153" t="s">
        <v>16</v>
      </c>
      <c r="C153" t="s">
        <v>25</v>
      </c>
      <c r="D153">
        <v>2020</v>
      </c>
      <c r="E153" t="s">
        <v>23</v>
      </c>
      <c r="F153">
        <v>180</v>
      </c>
    </row>
    <row r="154" spans="1:6" hidden="1" x14ac:dyDescent="0.3">
      <c r="A154" t="s">
        <v>16</v>
      </c>
      <c r="C154" t="s">
        <v>25</v>
      </c>
      <c r="D154">
        <v>2030</v>
      </c>
      <c r="E154" t="s">
        <v>23</v>
      </c>
      <c r="F154">
        <v>180</v>
      </c>
    </row>
    <row r="155" spans="1:6" hidden="1" x14ac:dyDescent="0.3">
      <c r="A155" t="s">
        <v>16</v>
      </c>
      <c r="C155" t="s">
        <v>25</v>
      </c>
      <c r="D155">
        <v>2040</v>
      </c>
      <c r="E155" t="s">
        <v>23</v>
      </c>
      <c r="F155">
        <v>180</v>
      </c>
    </row>
    <row r="156" spans="1:6" hidden="1" x14ac:dyDescent="0.3">
      <c r="A156" t="s">
        <v>16</v>
      </c>
      <c r="C156" t="s">
        <v>25</v>
      </c>
      <c r="D156">
        <v>2050</v>
      </c>
      <c r="E156" t="s">
        <v>23</v>
      </c>
      <c r="F156">
        <v>180</v>
      </c>
    </row>
    <row r="157" spans="1:6" hidden="1" x14ac:dyDescent="0.3">
      <c r="A157" t="s">
        <v>8</v>
      </c>
      <c r="C157" t="s">
        <v>87</v>
      </c>
      <c r="D157">
        <v>2015</v>
      </c>
      <c r="E157" t="s">
        <v>23</v>
      </c>
      <c r="F157">
        <v>105</v>
      </c>
    </row>
    <row r="158" spans="1:6" hidden="1" x14ac:dyDescent="0.3">
      <c r="A158" t="s">
        <v>8</v>
      </c>
      <c r="C158" t="s">
        <v>87</v>
      </c>
      <c r="D158">
        <v>2050</v>
      </c>
      <c r="E158" t="s">
        <v>23</v>
      </c>
      <c r="F158">
        <v>70</v>
      </c>
    </row>
    <row r="159" spans="1:6" hidden="1" x14ac:dyDescent="0.3">
      <c r="A159" t="s">
        <v>84</v>
      </c>
      <c r="C159" t="s">
        <v>87</v>
      </c>
      <c r="D159">
        <v>2015</v>
      </c>
      <c r="E159" t="s">
        <v>23</v>
      </c>
      <c r="F159">
        <v>11.818498331479422</v>
      </c>
    </row>
    <row r="160" spans="1:6" hidden="1" x14ac:dyDescent="0.3">
      <c r="A160" t="s">
        <v>84</v>
      </c>
      <c r="C160" t="s">
        <v>87</v>
      </c>
      <c r="D160">
        <v>2050</v>
      </c>
      <c r="E160" t="s">
        <v>23</v>
      </c>
      <c r="F160">
        <v>11.818498331479422</v>
      </c>
    </row>
    <row r="161" spans="1:6" hidden="1" x14ac:dyDescent="0.3">
      <c r="A161" t="s">
        <v>76</v>
      </c>
      <c r="C161" t="s">
        <v>87</v>
      </c>
      <c r="D161">
        <v>2015</v>
      </c>
      <c r="E161" t="s">
        <v>23</v>
      </c>
      <c r="F161">
        <v>20</v>
      </c>
    </row>
    <row r="162" spans="1:6" hidden="1" x14ac:dyDescent="0.3">
      <c r="A162" t="s">
        <v>76</v>
      </c>
      <c r="C162" t="s">
        <v>87</v>
      </c>
      <c r="D162">
        <v>2050</v>
      </c>
      <c r="E162" t="s">
        <v>23</v>
      </c>
      <c r="F162">
        <v>20</v>
      </c>
    </row>
    <row r="163" spans="1:6" hidden="1" x14ac:dyDescent="0.3">
      <c r="A163" t="s">
        <v>37</v>
      </c>
      <c r="C163" t="s">
        <v>87</v>
      </c>
      <c r="D163">
        <v>2015</v>
      </c>
      <c r="E163" t="s">
        <v>23</v>
      </c>
      <c r="F163">
        <v>100</v>
      </c>
    </row>
    <row r="164" spans="1:6" hidden="1" x14ac:dyDescent="0.3">
      <c r="A164" t="s">
        <v>37</v>
      </c>
      <c r="C164" t="s">
        <v>87</v>
      </c>
      <c r="D164">
        <v>2050</v>
      </c>
      <c r="E164" t="s">
        <v>23</v>
      </c>
      <c r="F164">
        <v>100</v>
      </c>
    </row>
    <row r="165" spans="1:6" hidden="1" x14ac:dyDescent="0.3">
      <c r="A165" t="s">
        <v>16</v>
      </c>
      <c r="C165" t="s">
        <v>87</v>
      </c>
      <c r="D165">
        <v>2015</v>
      </c>
      <c r="E165" t="s">
        <v>23</v>
      </c>
      <c r="F165">
        <v>180</v>
      </c>
    </row>
    <row r="166" spans="1:6" hidden="1" x14ac:dyDescent="0.3">
      <c r="A166" t="s">
        <v>16</v>
      </c>
      <c r="C166" t="s">
        <v>87</v>
      </c>
      <c r="D166">
        <v>2020</v>
      </c>
      <c r="E166" t="s">
        <v>23</v>
      </c>
      <c r="F166">
        <v>180</v>
      </c>
    </row>
    <row r="167" spans="1:6" hidden="1" x14ac:dyDescent="0.3">
      <c r="A167" t="s">
        <v>16</v>
      </c>
      <c r="C167" t="s">
        <v>87</v>
      </c>
      <c r="D167">
        <v>2030</v>
      </c>
      <c r="E167" t="s">
        <v>23</v>
      </c>
      <c r="F167">
        <v>180</v>
      </c>
    </row>
    <row r="168" spans="1:6" hidden="1" x14ac:dyDescent="0.3">
      <c r="A168" t="s">
        <v>16</v>
      </c>
      <c r="C168" t="s">
        <v>87</v>
      </c>
      <c r="D168">
        <v>2040</v>
      </c>
      <c r="E168" t="s">
        <v>23</v>
      </c>
      <c r="F168">
        <v>180</v>
      </c>
    </row>
    <row r="169" spans="1:6" hidden="1" x14ac:dyDescent="0.3">
      <c r="A169" t="s">
        <v>16</v>
      </c>
      <c r="C169" t="s">
        <v>87</v>
      </c>
      <c r="D169">
        <v>2050</v>
      </c>
      <c r="E169" t="s">
        <v>23</v>
      </c>
      <c r="F169">
        <v>180</v>
      </c>
    </row>
    <row r="170" spans="1:6" hidden="1" x14ac:dyDescent="0.3">
      <c r="A170" t="s">
        <v>8</v>
      </c>
      <c r="C170" t="s">
        <v>88</v>
      </c>
      <c r="D170">
        <v>2015</v>
      </c>
      <c r="E170" t="s">
        <v>23</v>
      </c>
      <c r="F170">
        <v>100</v>
      </c>
    </row>
    <row r="171" spans="1:6" hidden="1" x14ac:dyDescent="0.3">
      <c r="A171" t="s">
        <v>8</v>
      </c>
      <c r="C171" t="s">
        <v>88</v>
      </c>
      <c r="D171">
        <v>2050</v>
      </c>
      <c r="E171" t="s">
        <v>23</v>
      </c>
      <c r="F171">
        <v>70</v>
      </c>
    </row>
    <row r="172" spans="1:6" hidden="1" x14ac:dyDescent="0.3">
      <c r="A172" t="s">
        <v>84</v>
      </c>
      <c r="C172" t="s">
        <v>88</v>
      </c>
      <c r="D172">
        <v>2015</v>
      </c>
      <c r="E172" t="s">
        <v>23</v>
      </c>
      <c r="F172">
        <v>14.203522585992538</v>
      </c>
    </row>
    <row r="173" spans="1:6" hidden="1" x14ac:dyDescent="0.3">
      <c r="A173" t="s">
        <v>84</v>
      </c>
      <c r="C173" t="s">
        <v>88</v>
      </c>
      <c r="D173">
        <v>2050</v>
      </c>
      <c r="E173" t="s">
        <v>23</v>
      </c>
      <c r="F173">
        <v>14.203522585992538</v>
      </c>
    </row>
    <row r="174" spans="1:6" hidden="1" x14ac:dyDescent="0.3">
      <c r="A174" t="s">
        <v>76</v>
      </c>
      <c r="C174" t="s">
        <v>88</v>
      </c>
      <c r="D174">
        <v>2015</v>
      </c>
      <c r="E174" t="s">
        <v>23</v>
      </c>
      <c r="F174">
        <v>20</v>
      </c>
    </row>
    <row r="175" spans="1:6" hidden="1" x14ac:dyDescent="0.3">
      <c r="A175" t="s">
        <v>76</v>
      </c>
      <c r="C175" t="s">
        <v>88</v>
      </c>
      <c r="D175">
        <v>2050</v>
      </c>
      <c r="E175" t="s">
        <v>23</v>
      </c>
      <c r="F175">
        <v>20</v>
      </c>
    </row>
    <row r="176" spans="1:6" hidden="1" x14ac:dyDescent="0.3">
      <c r="A176" t="s">
        <v>37</v>
      </c>
      <c r="C176" t="s">
        <v>88</v>
      </c>
      <c r="D176">
        <v>2015</v>
      </c>
      <c r="E176" t="s">
        <v>23</v>
      </c>
      <c r="F176">
        <v>100</v>
      </c>
    </row>
    <row r="177" spans="1:6" hidden="1" x14ac:dyDescent="0.3">
      <c r="A177" t="s">
        <v>37</v>
      </c>
      <c r="C177" t="s">
        <v>88</v>
      </c>
      <c r="D177">
        <v>2050</v>
      </c>
      <c r="E177" t="s">
        <v>23</v>
      </c>
      <c r="F177">
        <v>100</v>
      </c>
    </row>
    <row r="178" spans="1:6" hidden="1" x14ac:dyDescent="0.3">
      <c r="A178" t="s">
        <v>16</v>
      </c>
      <c r="C178" t="s">
        <v>88</v>
      </c>
      <c r="D178">
        <v>2015</v>
      </c>
      <c r="E178" t="s">
        <v>23</v>
      </c>
      <c r="F178">
        <v>180</v>
      </c>
    </row>
    <row r="179" spans="1:6" hidden="1" x14ac:dyDescent="0.3">
      <c r="A179" t="s">
        <v>16</v>
      </c>
      <c r="C179" t="s">
        <v>88</v>
      </c>
      <c r="D179">
        <v>2020</v>
      </c>
      <c r="E179" t="s">
        <v>23</v>
      </c>
      <c r="F179">
        <v>180</v>
      </c>
    </row>
    <row r="180" spans="1:6" hidden="1" x14ac:dyDescent="0.3">
      <c r="A180" t="s">
        <v>16</v>
      </c>
      <c r="C180" t="s">
        <v>88</v>
      </c>
      <c r="D180">
        <v>2030</v>
      </c>
      <c r="E180" t="s">
        <v>23</v>
      </c>
      <c r="F180">
        <v>180</v>
      </c>
    </row>
    <row r="181" spans="1:6" hidden="1" x14ac:dyDescent="0.3">
      <c r="A181" t="s">
        <v>16</v>
      </c>
      <c r="C181" t="s">
        <v>88</v>
      </c>
      <c r="D181">
        <v>2040</v>
      </c>
      <c r="E181" t="s">
        <v>23</v>
      </c>
      <c r="F181">
        <v>180</v>
      </c>
    </row>
    <row r="182" spans="1:6" hidden="1" x14ac:dyDescent="0.3">
      <c r="A182" t="s">
        <v>16</v>
      </c>
      <c r="C182" t="s">
        <v>88</v>
      </c>
      <c r="D182">
        <v>2050</v>
      </c>
      <c r="E182" t="s">
        <v>23</v>
      </c>
      <c r="F182">
        <v>180</v>
      </c>
    </row>
    <row r="183" spans="1:6" hidden="1" x14ac:dyDescent="0.3">
      <c r="A183" t="s">
        <v>8</v>
      </c>
      <c r="C183" t="s">
        <v>89</v>
      </c>
      <c r="D183">
        <v>2015</v>
      </c>
      <c r="E183" t="s">
        <v>23</v>
      </c>
      <c r="F183">
        <v>80</v>
      </c>
    </row>
    <row r="184" spans="1:6" hidden="1" x14ac:dyDescent="0.3">
      <c r="A184" t="s">
        <v>8</v>
      </c>
      <c r="C184" t="s">
        <v>89</v>
      </c>
      <c r="D184">
        <v>2050</v>
      </c>
      <c r="E184" t="s">
        <v>23</v>
      </c>
      <c r="F184">
        <v>70</v>
      </c>
    </row>
    <row r="185" spans="1:6" hidden="1" x14ac:dyDescent="0.3">
      <c r="A185" t="s">
        <v>84</v>
      </c>
      <c r="C185" t="s">
        <v>89</v>
      </c>
      <c r="D185">
        <v>2015</v>
      </c>
      <c r="E185" t="s">
        <v>23</v>
      </c>
      <c r="F185">
        <v>13.042691415313225</v>
      </c>
    </row>
    <row r="186" spans="1:6" hidden="1" x14ac:dyDescent="0.3">
      <c r="A186" t="s">
        <v>84</v>
      </c>
      <c r="C186" t="s">
        <v>89</v>
      </c>
      <c r="D186">
        <v>2050</v>
      </c>
      <c r="E186" t="s">
        <v>23</v>
      </c>
      <c r="F186">
        <v>13.042691415313225</v>
      </c>
    </row>
    <row r="187" spans="1:6" hidden="1" x14ac:dyDescent="0.3">
      <c r="A187" t="s">
        <v>76</v>
      </c>
      <c r="C187" t="s">
        <v>89</v>
      </c>
      <c r="D187">
        <v>2015</v>
      </c>
      <c r="E187" t="s">
        <v>23</v>
      </c>
      <c r="F187">
        <v>20</v>
      </c>
    </row>
    <row r="188" spans="1:6" hidden="1" x14ac:dyDescent="0.3">
      <c r="A188" t="s">
        <v>76</v>
      </c>
      <c r="C188" t="s">
        <v>89</v>
      </c>
      <c r="D188">
        <v>2050</v>
      </c>
      <c r="E188" t="s">
        <v>23</v>
      </c>
      <c r="F188">
        <v>20</v>
      </c>
    </row>
    <row r="189" spans="1:6" hidden="1" x14ac:dyDescent="0.3">
      <c r="A189" t="s">
        <v>37</v>
      </c>
      <c r="C189" t="s">
        <v>89</v>
      </c>
      <c r="D189">
        <v>2015</v>
      </c>
      <c r="E189" t="s">
        <v>23</v>
      </c>
      <c r="F189">
        <v>100</v>
      </c>
    </row>
    <row r="190" spans="1:6" hidden="1" x14ac:dyDescent="0.3">
      <c r="A190" t="s">
        <v>37</v>
      </c>
      <c r="C190" t="s">
        <v>89</v>
      </c>
      <c r="D190">
        <v>2050</v>
      </c>
      <c r="E190" t="s">
        <v>23</v>
      </c>
      <c r="F190">
        <v>100</v>
      </c>
    </row>
    <row r="191" spans="1:6" hidden="1" x14ac:dyDescent="0.3">
      <c r="A191" t="s">
        <v>16</v>
      </c>
      <c r="C191" t="s">
        <v>89</v>
      </c>
      <c r="D191">
        <v>2015</v>
      </c>
      <c r="E191" t="s">
        <v>23</v>
      </c>
      <c r="F191">
        <v>180</v>
      </c>
    </row>
    <row r="192" spans="1:6" hidden="1" x14ac:dyDescent="0.3">
      <c r="A192" t="s">
        <v>16</v>
      </c>
      <c r="C192" t="s">
        <v>89</v>
      </c>
      <c r="D192">
        <v>2020</v>
      </c>
      <c r="E192" t="s">
        <v>23</v>
      </c>
      <c r="F192">
        <v>180</v>
      </c>
    </row>
    <row r="193" spans="1:6" hidden="1" x14ac:dyDescent="0.3">
      <c r="A193" t="s">
        <v>16</v>
      </c>
      <c r="C193" t="s">
        <v>89</v>
      </c>
      <c r="D193">
        <v>2030</v>
      </c>
      <c r="E193" t="s">
        <v>23</v>
      </c>
      <c r="F193">
        <v>180</v>
      </c>
    </row>
    <row r="194" spans="1:6" hidden="1" x14ac:dyDescent="0.3">
      <c r="A194" t="s">
        <v>16</v>
      </c>
      <c r="C194" t="s">
        <v>89</v>
      </c>
      <c r="D194">
        <v>2040</v>
      </c>
      <c r="E194" t="s">
        <v>23</v>
      </c>
      <c r="F194">
        <v>180</v>
      </c>
    </row>
    <row r="195" spans="1:6" hidden="1" x14ac:dyDescent="0.3">
      <c r="A195" t="s">
        <v>16</v>
      </c>
      <c r="C195" t="s">
        <v>89</v>
      </c>
      <c r="D195">
        <v>2050</v>
      </c>
      <c r="E195" t="s">
        <v>23</v>
      </c>
      <c r="F195">
        <v>180</v>
      </c>
    </row>
    <row r="196" spans="1:6" hidden="1" x14ac:dyDescent="0.3">
      <c r="A196" t="s">
        <v>8</v>
      </c>
      <c r="C196" t="s">
        <v>90</v>
      </c>
      <c r="D196">
        <v>2015</v>
      </c>
      <c r="E196" t="s">
        <v>23</v>
      </c>
      <c r="F196">
        <v>84</v>
      </c>
    </row>
    <row r="197" spans="1:6" hidden="1" x14ac:dyDescent="0.3">
      <c r="A197" t="s">
        <v>8</v>
      </c>
      <c r="C197" t="s">
        <v>90</v>
      </c>
      <c r="D197">
        <v>2050</v>
      </c>
      <c r="E197" t="s">
        <v>23</v>
      </c>
      <c r="F197">
        <v>70</v>
      </c>
    </row>
    <row r="198" spans="1:6" hidden="1" x14ac:dyDescent="0.3">
      <c r="A198" t="s">
        <v>84</v>
      </c>
      <c r="C198" t="s">
        <v>90</v>
      </c>
      <c r="D198">
        <v>2015</v>
      </c>
      <c r="E198" t="s">
        <v>23</v>
      </c>
      <c r="F198">
        <v>14.102541567695964</v>
      </c>
    </row>
    <row r="199" spans="1:6" hidden="1" x14ac:dyDescent="0.3">
      <c r="A199" t="s">
        <v>84</v>
      </c>
      <c r="C199" t="s">
        <v>90</v>
      </c>
      <c r="D199">
        <v>2050</v>
      </c>
      <c r="E199" t="s">
        <v>23</v>
      </c>
      <c r="F199">
        <v>14.102541567695964</v>
      </c>
    </row>
    <row r="200" spans="1:6" hidden="1" x14ac:dyDescent="0.3">
      <c r="A200" t="s">
        <v>76</v>
      </c>
      <c r="C200" t="s">
        <v>90</v>
      </c>
      <c r="D200">
        <v>2015</v>
      </c>
      <c r="E200" t="s">
        <v>23</v>
      </c>
      <c r="F200">
        <v>20</v>
      </c>
    </row>
    <row r="201" spans="1:6" hidden="1" x14ac:dyDescent="0.3">
      <c r="A201" t="s">
        <v>76</v>
      </c>
      <c r="C201" t="s">
        <v>90</v>
      </c>
      <c r="D201">
        <v>2050</v>
      </c>
      <c r="E201" t="s">
        <v>23</v>
      </c>
      <c r="F201">
        <v>20</v>
      </c>
    </row>
    <row r="202" spans="1:6" hidden="1" x14ac:dyDescent="0.3">
      <c r="A202" t="s">
        <v>37</v>
      </c>
      <c r="C202" t="s">
        <v>90</v>
      </c>
      <c r="D202">
        <v>2015</v>
      </c>
      <c r="E202" t="s">
        <v>23</v>
      </c>
      <c r="F202">
        <v>100</v>
      </c>
    </row>
    <row r="203" spans="1:6" hidden="1" x14ac:dyDescent="0.3">
      <c r="A203" t="s">
        <v>37</v>
      </c>
      <c r="C203" t="s">
        <v>90</v>
      </c>
      <c r="D203">
        <v>2050</v>
      </c>
      <c r="E203" t="s">
        <v>23</v>
      </c>
      <c r="F203">
        <v>100</v>
      </c>
    </row>
    <row r="204" spans="1:6" hidden="1" x14ac:dyDescent="0.3">
      <c r="A204" t="s">
        <v>16</v>
      </c>
      <c r="C204" t="s">
        <v>90</v>
      </c>
      <c r="D204">
        <v>2015</v>
      </c>
      <c r="E204" t="s">
        <v>23</v>
      </c>
      <c r="F204">
        <v>180</v>
      </c>
    </row>
    <row r="205" spans="1:6" hidden="1" x14ac:dyDescent="0.3">
      <c r="A205" t="s">
        <v>16</v>
      </c>
      <c r="C205" t="s">
        <v>90</v>
      </c>
      <c r="D205">
        <v>2020</v>
      </c>
      <c r="E205" t="s">
        <v>23</v>
      </c>
      <c r="F205">
        <v>180</v>
      </c>
    </row>
    <row r="206" spans="1:6" hidden="1" x14ac:dyDescent="0.3">
      <c r="A206" t="s">
        <v>16</v>
      </c>
      <c r="C206" t="s">
        <v>90</v>
      </c>
      <c r="D206">
        <v>2030</v>
      </c>
      <c r="E206" t="s">
        <v>23</v>
      </c>
      <c r="F206">
        <v>180</v>
      </c>
    </row>
    <row r="207" spans="1:6" hidden="1" x14ac:dyDescent="0.3">
      <c r="A207" t="s">
        <v>16</v>
      </c>
      <c r="C207" t="s">
        <v>90</v>
      </c>
      <c r="D207">
        <v>2040</v>
      </c>
      <c r="E207" t="s">
        <v>23</v>
      </c>
      <c r="F207">
        <v>180</v>
      </c>
    </row>
    <row r="208" spans="1:6" hidden="1" x14ac:dyDescent="0.3">
      <c r="A208" t="s">
        <v>16</v>
      </c>
      <c r="C208" t="s">
        <v>90</v>
      </c>
      <c r="D208">
        <v>2050</v>
      </c>
      <c r="E208" t="s">
        <v>23</v>
      </c>
      <c r="F208">
        <v>180</v>
      </c>
    </row>
    <row r="209" spans="1:6" hidden="1" x14ac:dyDescent="0.3">
      <c r="A209" t="s">
        <v>5</v>
      </c>
      <c r="E209" t="s">
        <v>10</v>
      </c>
      <c r="F209">
        <v>0.14360919999999999</v>
      </c>
    </row>
    <row r="210" spans="1:6" hidden="1" x14ac:dyDescent="0.3">
      <c r="A210" t="s">
        <v>6</v>
      </c>
      <c r="E210" t="s">
        <v>10</v>
      </c>
      <c r="F210">
        <v>-0.95</v>
      </c>
    </row>
    <row r="211" spans="1:6" hidden="1" x14ac:dyDescent="0.3">
      <c r="A211" t="s">
        <v>84</v>
      </c>
      <c r="E211" t="s">
        <v>10</v>
      </c>
      <c r="F211">
        <v>-0.378</v>
      </c>
    </row>
    <row r="212" spans="1:6" hidden="1" x14ac:dyDescent="0.3">
      <c r="A212" t="s">
        <v>7</v>
      </c>
      <c r="E212" t="s">
        <v>10</v>
      </c>
      <c r="F212">
        <v>0.66905599999999998</v>
      </c>
    </row>
    <row r="213" spans="1:6" hidden="1" x14ac:dyDescent="0.3">
      <c r="A213" t="s">
        <v>9</v>
      </c>
      <c r="E213" t="s">
        <v>10</v>
      </c>
      <c r="F213">
        <v>0.38638319999999998</v>
      </c>
    </row>
    <row r="214" spans="1:6" hidden="1" x14ac:dyDescent="0.3">
      <c r="A214" t="s">
        <v>11</v>
      </c>
      <c r="D214">
        <v>2015</v>
      </c>
      <c r="E214" t="s">
        <v>10</v>
      </c>
      <c r="F214">
        <v>10.8</v>
      </c>
    </row>
    <row r="215" spans="1:6" ht="16.5" hidden="1" customHeight="1" x14ac:dyDescent="0.3">
      <c r="A215" t="s">
        <v>11</v>
      </c>
      <c r="D215">
        <v>2020</v>
      </c>
      <c r="E215" t="s">
        <v>10</v>
      </c>
      <c r="F215">
        <v>10.8</v>
      </c>
    </row>
    <row r="216" spans="1:6" hidden="1" x14ac:dyDescent="0.3">
      <c r="A216" t="s">
        <v>11</v>
      </c>
      <c r="D216">
        <v>2050</v>
      </c>
      <c r="E216" t="s">
        <v>10</v>
      </c>
      <c r="F216">
        <v>2</v>
      </c>
    </row>
    <row r="217" spans="1:6" hidden="1" x14ac:dyDescent="0.3">
      <c r="A217" t="s">
        <v>8</v>
      </c>
      <c r="C217" t="s">
        <v>24</v>
      </c>
      <c r="D217">
        <v>2015</v>
      </c>
      <c r="E217" t="s">
        <v>10</v>
      </c>
      <c r="F217">
        <v>0.06</v>
      </c>
    </row>
    <row r="218" spans="1:6" hidden="1" x14ac:dyDescent="0.3">
      <c r="A218" t="s">
        <v>8</v>
      </c>
      <c r="C218" t="s">
        <v>24</v>
      </c>
      <c r="D218">
        <v>2020</v>
      </c>
      <c r="E218" t="s">
        <v>10</v>
      </c>
      <c r="F218">
        <v>0.06</v>
      </c>
    </row>
    <row r="219" spans="1:6" hidden="1" x14ac:dyDescent="0.3">
      <c r="A219" t="s">
        <v>8</v>
      </c>
      <c r="C219" t="s">
        <v>25</v>
      </c>
      <c r="D219">
        <v>2015</v>
      </c>
      <c r="E219" t="s">
        <v>10</v>
      </c>
      <c r="F219">
        <v>0.6</v>
      </c>
    </row>
    <row r="220" spans="1:6" hidden="1" x14ac:dyDescent="0.3">
      <c r="A220" t="s">
        <v>8</v>
      </c>
      <c r="C220" t="s">
        <v>25</v>
      </c>
      <c r="D220">
        <v>2020</v>
      </c>
      <c r="E220" t="s">
        <v>10</v>
      </c>
      <c r="F220">
        <v>0.4</v>
      </c>
    </row>
    <row r="221" spans="1:6" hidden="1" x14ac:dyDescent="0.3">
      <c r="A221" t="s">
        <v>8</v>
      </c>
      <c r="C221" t="s">
        <v>87</v>
      </c>
      <c r="D221">
        <v>2015</v>
      </c>
      <c r="E221" t="s">
        <v>10</v>
      </c>
      <c r="F221">
        <v>0.4</v>
      </c>
    </row>
    <row r="222" spans="1:6" hidden="1" x14ac:dyDescent="0.3">
      <c r="A222" t="s">
        <v>8</v>
      </c>
      <c r="C222" t="s">
        <v>87</v>
      </c>
      <c r="D222">
        <v>2020</v>
      </c>
      <c r="E222" t="s">
        <v>10</v>
      </c>
      <c r="F222">
        <v>0.3</v>
      </c>
    </row>
    <row r="223" spans="1:6" hidden="1" x14ac:dyDescent="0.3">
      <c r="A223" t="s">
        <v>8</v>
      </c>
      <c r="C223" t="s">
        <v>89</v>
      </c>
      <c r="D223">
        <v>2015</v>
      </c>
      <c r="E223" t="s">
        <v>10</v>
      </c>
      <c r="F223">
        <v>0.3</v>
      </c>
    </row>
    <row r="224" spans="1:6" hidden="1" x14ac:dyDescent="0.3">
      <c r="A224" t="s">
        <v>8</v>
      </c>
      <c r="C224" t="s">
        <v>89</v>
      </c>
      <c r="D224">
        <v>2020</v>
      </c>
      <c r="E224" t="s">
        <v>10</v>
      </c>
      <c r="F224">
        <v>0.19</v>
      </c>
    </row>
    <row r="225" spans="1:6" hidden="1" x14ac:dyDescent="0.3">
      <c r="A225" t="s">
        <v>8</v>
      </c>
      <c r="C225" t="s">
        <v>88</v>
      </c>
      <c r="D225">
        <v>2015</v>
      </c>
      <c r="E225" t="s">
        <v>10</v>
      </c>
      <c r="F225">
        <v>0.35</v>
      </c>
    </row>
    <row r="226" spans="1:6" hidden="1" x14ac:dyDescent="0.3">
      <c r="A226" t="s">
        <v>8</v>
      </c>
      <c r="C226" t="s">
        <v>88</v>
      </c>
      <c r="D226">
        <v>2020</v>
      </c>
      <c r="E226" t="s">
        <v>10</v>
      </c>
      <c r="F226">
        <v>0.24</v>
      </c>
    </row>
    <row r="227" spans="1:6" hidden="1" x14ac:dyDescent="0.3">
      <c r="A227" t="s">
        <v>8</v>
      </c>
      <c r="C227" t="s">
        <v>90</v>
      </c>
      <c r="D227">
        <v>2015</v>
      </c>
      <c r="E227" t="s">
        <v>10</v>
      </c>
      <c r="F227">
        <v>0.28000000000000003</v>
      </c>
    </row>
    <row r="228" spans="1:6" hidden="1" x14ac:dyDescent="0.3">
      <c r="A228" t="s">
        <v>8</v>
      </c>
      <c r="C228" t="s">
        <v>90</v>
      </c>
      <c r="D228">
        <v>2020</v>
      </c>
      <c r="E228" t="s">
        <v>10</v>
      </c>
      <c r="F228">
        <v>0.21</v>
      </c>
    </row>
    <row r="229" spans="1:6" hidden="1" x14ac:dyDescent="0.3">
      <c r="A229" t="s">
        <v>8</v>
      </c>
      <c r="D229">
        <v>2050</v>
      </c>
      <c r="E229" t="s">
        <v>10</v>
      </c>
      <c r="F229">
        <v>0.02</v>
      </c>
    </row>
    <row r="230" spans="1:6" hidden="1" x14ac:dyDescent="0.3">
      <c r="A230" t="s">
        <v>26</v>
      </c>
      <c r="E230" t="s">
        <v>10</v>
      </c>
      <c r="F230">
        <v>0.5</v>
      </c>
    </row>
    <row r="231" spans="1:6" hidden="1" x14ac:dyDescent="0.3">
      <c r="A231" t="s">
        <v>54</v>
      </c>
      <c r="E231" t="s">
        <v>10</v>
      </c>
      <c r="F231">
        <v>2</v>
      </c>
    </row>
    <row r="232" spans="1:6" hidden="1" x14ac:dyDescent="0.3">
      <c r="A232" t="s">
        <v>53</v>
      </c>
      <c r="E232" t="s">
        <v>10</v>
      </c>
      <c r="F232">
        <v>2.5499999999999998</v>
      </c>
    </row>
    <row r="233" spans="1:6" hidden="1" x14ac:dyDescent="0.3">
      <c r="A233" t="s">
        <v>11</v>
      </c>
      <c r="D233">
        <v>2015</v>
      </c>
      <c r="E233" t="s">
        <v>23</v>
      </c>
      <c r="F233">
        <v>6000</v>
      </c>
    </row>
    <row r="234" spans="1:6" hidden="1" x14ac:dyDescent="0.3">
      <c r="A234" t="s">
        <v>11</v>
      </c>
      <c r="D234">
        <v>2050</v>
      </c>
      <c r="E234" t="s">
        <v>23</v>
      </c>
      <c r="F234">
        <v>3000</v>
      </c>
    </row>
    <row r="235" spans="1:6" hidden="1" x14ac:dyDescent="0.3">
      <c r="A235" t="s">
        <v>93</v>
      </c>
      <c r="C235" t="s">
        <v>24</v>
      </c>
      <c r="D235">
        <v>2015</v>
      </c>
      <c r="E235" t="s">
        <v>23</v>
      </c>
      <c r="F235">
        <v>75</v>
      </c>
    </row>
    <row r="236" spans="1:6" hidden="1" x14ac:dyDescent="0.3">
      <c r="A236" t="s">
        <v>93</v>
      </c>
      <c r="C236" t="s">
        <v>24</v>
      </c>
      <c r="D236">
        <v>2050</v>
      </c>
      <c r="E236" t="s">
        <v>23</v>
      </c>
      <c r="F236">
        <v>30</v>
      </c>
    </row>
    <row r="237" spans="1:6" hidden="1" x14ac:dyDescent="0.3">
      <c r="A237" t="s">
        <v>94</v>
      </c>
      <c r="C237" t="s">
        <v>24</v>
      </c>
      <c r="D237">
        <v>2015</v>
      </c>
      <c r="E237" t="s">
        <v>23</v>
      </c>
      <c r="F237">
        <v>75</v>
      </c>
    </row>
    <row r="238" spans="1:6" hidden="1" x14ac:dyDescent="0.3">
      <c r="A238" t="s">
        <v>94</v>
      </c>
      <c r="C238" t="s">
        <v>24</v>
      </c>
      <c r="D238">
        <v>2050</v>
      </c>
      <c r="E238" t="s">
        <v>23</v>
      </c>
      <c r="F238">
        <v>20</v>
      </c>
    </row>
    <row r="239" spans="1:6" hidden="1" x14ac:dyDescent="0.3">
      <c r="A239" t="s">
        <v>93</v>
      </c>
      <c r="C239" t="s">
        <v>87</v>
      </c>
      <c r="D239">
        <v>2015</v>
      </c>
      <c r="E239" t="s">
        <v>23</v>
      </c>
      <c r="F239">
        <v>105</v>
      </c>
    </row>
    <row r="240" spans="1:6" hidden="1" x14ac:dyDescent="0.3">
      <c r="A240" t="s">
        <v>93</v>
      </c>
      <c r="C240" t="s">
        <v>87</v>
      </c>
      <c r="D240">
        <v>2050</v>
      </c>
      <c r="E240" t="s">
        <v>23</v>
      </c>
      <c r="F240">
        <v>30</v>
      </c>
    </row>
    <row r="241" spans="1:6" hidden="1" x14ac:dyDescent="0.3">
      <c r="A241" t="s">
        <v>94</v>
      </c>
      <c r="C241" t="s">
        <v>87</v>
      </c>
      <c r="D241">
        <v>2015</v>
      </c>
      <c r="E241" t="s">
        <v>23</v>
      </c>
      <c r="F241">
        <v>105</v>
      </c>
    </row>
    <row r="242" spans="1:6" hidden="1" x14ac:dyDescent="0.3">
      <c r="A242" t="s">
        <v>94</v>
      </c>
      <c r="C242" t="s">
        <v>87</v>
      </c>
      <c r="D242">
        <v>2050</v>
      </c>
      <c r="E242" t="s">
        <v>23</v>
      </c>
      <c r="F242">
        <v>20</v>
      </c>
    </row>
    <row r="243" spans="1:6" hidden="1" x14ac:dyDescent="0.3">
      <c r="A243" t="s">
        <v>93</v>
      </c>
      <c r="C243" t="s">
        <v>25</v>
      </c>
      <c r="D243">
        <v>2015</v>
      </c>
      <c r="E243" t="s">
        <v>23</v>
      </c>
      <c r="F243">
        <v>125</v>
      </c>
    </row>
    <row r="244" spans="1:6" hidden="1" x14ac:dyDescent="0.3">
      <c r="A244" t="s">
        <v>93</v>
      </c>
      <c r="C244" t="s">
        <v>25</v>
      </c>
      <c r="D244">
        <v>2050</v>
      </c>
      <c r="E244" t="s">
        <v>23</v>
      </c>
      <c r="F244">
        <v>30</v>
      </c>
    </row>
    <row r="245" spans="1:6" hidden="1" x14ac:dyDescent="0.3">
      <c r="A245" t="s">
        <v>94</v>
      </c>
      <c r="C245" t="s">
        <v>25</v>
      </c>
      <c r="D245">
        <v>2015</v>
      </c>
      <c r="E245" t="s">
        <v>23</v>
      </c>
      <c r="F245">
        <v>125</v>
      </c>
    </row>
    <row r="246" spans="1:6" hidden="1" x14ac:dyDescent="0.3">
      <c r="A246" t="s">
        <v>94</v>
      </c>
      <c r="C246" t="s">
        <v>25</v>
      </c>
      <c r="D246">
        <v>2050</v>
      </c>
      <c r="E246" t="s">
        <v>23</v>
      </c>
      <c r="F246">
        <v>20</v>
      </c>
    </row>
    <row r="247" spans="1:6" hidden="1" x14ac:dyDescent="0.3">
      <c r="A247" t="s">
        <v>93</v>
      </c>
      <c r="C247" t="s">
        <v>88</v>
      </c>
      <c r="D247">
        <v>2015</v>
      </c>
      <c r="E247" t="s">
        <v>23</v>
      </c>
      <c r="F247">
        <v>100</v>
      </c>
    </row>
    <row r="248" spans="1:6" hidden="1" x14ac:dyDescent="0.3">
      <c r="A248" t="s">
        <v>93</v>
      </c>
      <c r="C248" t="s">
        <v>88</v>
      </c>
      <c r="D248">
        <v>2050</v>
      </c>
      <c r="E248" t="s">
        <v>23</v>
      </c>
      <c r="F248">
        <v>30</v>
      </c>
    </row>
    <row r="249" spans="1:6" hidden="1" x14ac:dyDescent="0.3">
      <c r="A249" t="s">
        <v>94</v>
      </c>
      <c r="C249" t="s">
        <v>88</v>
      </c>
      <c r="D249">
        <v>2015</v>
      </c>
      <c r="E249" t="s">
        <v>23</v>
      </c>
      <c r="F249">
        <v>100</v>
      </c>
    </row>
    <row r="250" spans="1:6" hidden="1" x14ac:dyDescent="0.3">
      <c r="A250" t="s">
        <v>94</v>
      </c>
      <c r="C250" t="s">
        <v>88</v>
      </c>
      <c r="D250">
        <v>2050</v>
      </c>
      <c r="E250" t="s">
        <v>23</v>
      </c>
      <c r="F250">
        <v>20</v>
      </c>
    </row>
    <row r="251" spans="1:6" hidden="1" x14ac:dyDescent="0.3">
      <c r="A251" t="s">
        <v>93</v>
      </c>
      <c r="C251" t="s">
        <v>89</v>
      </c>
      <c r="D251">
        <v>2015</v>
      </c>
      <c r="E251" t="s">
        <v>23</v>
      </c>
      <c r="F251">
        <v>80</v>
      </c>
    </row>
    <row r="252" spans="1:6" hidden="1" x14ac:dyDescent="0.3">
      <c r="A252" t="s">
        <v>93</v>
      </c>
      <c r="C252" t="s">
        <v>89</v>
      </c>
      <c r="D252">
        <v>2050</v>
      </c>
      <c r="E252" t="s">
        <v>23</v>
      </c>
      <c r="F252">
        <v>30</v>
      </c>
    </row>
    <row r="253" spans="1:6" hidden="1" x14ac:dyDescent="0.3">
      <c r="A253" t="s">
        <v>94</v>
      </c>
      <c r="C253" t="s">
        <v>89</v>
      </c>
      <c r="D253">
        <v>2015</v>
      </c>
      <c r="E253" t="s">
        <v>23</v>
      </c>
      <c r="F253">
        <v>80</v>
      </c>
    </row>
    <row r="254" spans="1:6" hidden="1" x14ac:dyDescent="0.3">
      <c r="A254" t="s">
        <v>94</v>
      </c>
      <c r="C254" t="s">
        <v>89</v>
      </c>
      <c r="D254">
        <v>2050</v>
      </c>
      <c r="E254" t="s">
        <v>23</v>
      </c>
      <c r="F254">
        <v>20</v>
      </c>
    </row>
    <row r="255" spans="1:6" hidden="1" x14ac:dyDescent="0.3">
      <c r="A255" t="s">
        <v>93</v>
      </c>
      <c r="C255" t="s">
        <v>90</v>
      </c>
      <c r="D255">
        <v>2015</v>
      </c>
      <c r="E255" t="s">
        <v>23</v>
      </c>
      <c r="F255">
        <v>84</v>
      </c>
    </row>
    <row r="256" spans="1:6" hidden="1" x14ac:dyDescent="0.3">
      <c r="A256" t="s">
        <v>93</v>
      </c>
      <c r="C256" t="s">
        <v>90</v>
      </c>
      <c r="D256">
        <v>2050</v>
      </c>
      <c r="E256" t="s">
        <v>23</v>
      </c>
      <c r="F256">
        <v>30</v>
      </c>
    </row>
    <row r="257" spans="1:6" hidden="1" x14ac:dyDescent="0.3">
      <c r="A257" t="s">
        <v>94</v>
      </c>
      <c r="C257" t="s">
        <v>90</v>
      </c>
      <c r="D257">
        <v>2015</v>
      </c>
      <c r="E257" t="s">
        <v>23</v>
      </c>
      <c r="F257">
        <v>84</v>
      </c>
    </row>
    <row r="258" spans="1:6" hidden="1" x14ac:dyDescent="0.3">
      <c r="A258" t="s">
        <v>94</v>
      </c>
      <c r="C258" t="s">
        <v>90</v>
      </c>
      <c r="D258">
        <v>2050</v>
      </c>
      <c r="E258" t="s">
        <v>23</v>
      </c>
      <c r="F258">
        <v>20</v>
      </c>
    </row>
    <row r="259" spans="1:6" hidden="1" x14ac:dyDescent="0.3">
      <c r="A259" t="s">
        <v>54</v>
      </c>
      <c r="B259" t="s">
        <v>99</v>
      </c>
      <c r="C259" t="s">
        <v>24</v>
      </c>
      <c r="D259">
        <v>2015</v>
      </c>
      <c r="E259" t="s">
        <v>36</v>
      </c>
      <c r="F259" s="10">
        <v>4400000</v>
      </c>
    </row>
    <row r="260" spans="1:6" s="17" customFormat="1" hidden="1" x14ac:dyDescent="0.3">
      <c r="A260" s="17" t="s">
        <v>26</v>
      </c>
      <c r="B260" s="17" t="s">
        <v>99</v>
      </c>
      <c r="E260" s="17" t="s">
        <v>36</v>
      </c>
      <c r="F260" s="44">
        <v>0</v>
      </c>
    </row>
    <row r="261" spans="1:6" hidden="1" x14ac:dyDescent="0.3">
      <c r="A261" t="s">
        <v>26</v>
      </c>
      <c r="B261" t="s">
        <v>99</v>
      </c>
      <c r="C261" t="s">
        <v>24</v>
      </c>
      <c r="D261">
        <v>2015</v>
      </c>
      <c r="E261" t="s">
        <v>36</v>
      </c>
      <c r="F261" s="10">
        <v>14000</v>
      </c>
    </row>
    <row r="262" spans="1:6" hidden="1" x14ac:dyDescent="0.3">
      <c r="A262" t="s">
        <v>53</v>
      </c>
      <c r="B262" t="s">
        <v>99</v>
      </c>
      <c r="C262" t="s">
        <v>24</v>
      </c>
      <c r="D262">
        <v>2015</v>
      </c>
      <c r="E262" t="s">
        <v>36</v>
      </c>
      <c r="F262" s="10">
        <v>800000</v>
      </c>
    </row>
    <row r="263" spans="1:6" hidden="1" x14ac:dyDescent="0.3">
      <c r="A263" t="s">
        <v>54</v>
      </c>
      <c r="B263" t="s">
        <v>99</v>
      </c>
      <c r="C263" t="s">
        <v>24</v>
      </c>
      <c r="D263">
        <v>2020</v>
      </c>
      <c r="E263" t="s">
        <v>36</v>
      </c>
      <c r="F263" s="10">
        <f>F259</f>
        <v>4400000</v>
      </c>
    </row>
    <row r="264" spans="1:6" hidden="1" x14ac:dyDescent="0.3">
      <c r="A264" t="s">
        <v>26</v>
      </c>
      <c r="B264" t="s">
        <v>99</v>
      </c>
      <c r="C264" t="s">
        <v>24</v>
      </c>
      <c r="D264">
        <v>2020</v>
      </c>
      <c r="E264" t="s">
        <v>115</v>
      </c>
      <c r="F264" s="10">
        <v>14000</v>
      </c>
    </row>
    <row r="265" spans="1:6" hidden="1" x14ac:dyDescent="0.3">
      <c r="A265" t="s">
        <v>53</v>
      </c>
      <c r="B265" t="s">
        <v>99</v>
      </c>
      <c r="C265" t="s">
        <v>24</v>
      </c>
      <c r="D265">
        <v>2020</v>
      </c>
      <c r="E265" t="s">
        <v>36</v>
      </c>
      <c r="F265" s="10">
        <v>800000</v>
      </c>
    </row>
    <row r="266" spans="1:6" hidden="1" x14ac:dyDescent="0.3">
      <c r="A266" t="s">
        <v>54</v>
      </c>
      <c r="B266" t="s">
        <v>99</v>
      </c>
      <c r="C266" t="s">
        <v>24</v>
      </c>
      <c r="D266">
        <v>2030</v>
      </c>
      <c r="E266" t="s">
        <v>36</v>
      </c>
      <c r="F266" s="10">
        <f>F263</f>
        <v>4400000</v>
      </c>
    </row>
    <row r="267" spans="1:6" hidden="1" x14ac:dyDescent="0.3">
      <c r="A267" t="s">
        <v>26</v>
      </c>
      <c r="B267" t="s">
        <v>99</v>
      </c>
      <c r="C267" t="s">
        <v>24</v>
      </c>
      <c r="D267">
        <v>2030</v>
      </c>
      <c r="E267" t="s">
        <v>115</v>
      </c>
      <c r="F267" s="10">
        <v>14000</v>
      </c>
    </row>
    <row r="268" spans="1:6" hidden="1" x14ac:dyDescent="0.3">
      <c r="A268" t="s">
        <v>53</v>
      </c>
      <c r="B268" t="s">
        <v>99</v>
      </c>
      <c r="C268" t="s">
        <v>24</v>
      </c>
      <c r="D268">
        <v>2030</v>
      </c>
      <c r="E268" t="s">
        <v>36</v>
      </c>
      <c r="F268" s="10">
        <v>800000</v>
      </c>
    </row>
    <row r="269" spans="1:6" hidden="1" x14ac:dyDescent="0.3">
      <c r="A269" t="s">
        <v>54</v>
      </c>
      <c r="B269" t="s">
        <v>99</v>
      </c>
      <c r="C269" t="s">
        <v>24</v>
      </c>
      <c r="D269">
        <v>2040</v>
      </c>
      <c r="E269" t="s">
        <v>36</v>
      </c>
      <c r="F269" s="10">
        <f>F266</f>
        <v>4400000</v>
      </c>
    </row>
    <row r="270" spans="1:6" hidden="1" x14ac:dyDescent="0.3">
      <c r="A270" t="s">
        <v>26</v>
      </c>
      <c r="B270" t="s">
        <v>99</v>
      </c>
      <c r="C270" t="s">
        <v>24</v>
      </c>
      <c r="D270">
        <v>2040</v>
      </c>
      <c r="E270" t="s">
        <v>115</v>
      </c>
      <c r="F270" s="10">
        <v>14000</v>
      </c>
    </row>
    <row r="271" spans="1:6" hidden="1" x14ac:dyDescent="0.3">
      <c r="A271" t="s">
        <v>53</v>
      </c>
      <c r="B271" t="s">
        <v>99</v>
      </c>
      <c r="C271" t="s">
        <v>24</v>
      </c>
      <c r="D271">
        <v>2040</v>
      </c>
      <c r="E271" t="s">
        <v>36</v>
      </c>
      <c r="F271" s="10">
        <v>800000</v>
      </c>
    </row>
    <row r="272" spans="1:6" hidden="1" x14ac:dyDescent="0.3">
      <c r="A272" t="s">
        <v>54</v>
      </c>
      <c r="B272" t="s">
        <v>99</v>
      </c>
      <c r="C272" t="s">
        <v>24</v>
      </c>
      <c r="D272">
        <v>2050</v>
      </c>
      <c r="E272" t="s">
        <v>36</v>
      </c>
      <c r="F272" s="10">
        <f>F269</f>
        <v>4400000</v>
      </c>
    </row>
    <row r="273" spans="1:6" hidden="1" x14ac:dyDescent="0.3">
      <c r="A273" t="s">
        <v>26</v>
      </c>
      <c r="B273" t="s">
        <v>99</v>
      </c>
      <c r="C273" t="s">
        <v>24</v>
      </c>
      <c r="D273">
        <v>2050</v>
      </c>
      <c r="E273" t="s">
        <v>115</v>
      </c>
      <c r="F273" s="10">
        <v>14000</v>
      </c>
    </row>
    <row r="274" spans="1:6" hidden="1" x14ac:dyDescent="0.3">
      <c r="A274" t="s">
        <v>53</v>
      </c>
      <c r="B274" t="s">
        <v>99</v>
      </c>
      <c r="C274" t="s">
        <v>24</v>
      </c>
      <c r="D274">
        <v>2050</v>
      </c>
      <c r="E274" t="s">
        <v>36</v>
      </c>
      <c r="F274" s="10">
        <v>800000</v>
      </c>
    </row>
    <row r="275" spans="1:6" hidden="1" x14ac:dyDescent="0.3">
      <c r="A275" t="s">
        <v>54</v>
      </c>
      <c r="B275" t="s">
        <v>99</v>
      </c>
      <c r="C275" t="s">
        <v>25</v>
      </c>
      <c r="D275">
        <v>2015</v>
      </c>
      <c r="E275" t="s">
        <v>36</v>
      </c>
      <c r="F275" s="10">
        <v>9200000</v>
      </c>
    </row>
    <row r="276" spans="1:6" hidden="1" x14ac:dyDescent="0.3">
      <c r="A276" t="s">
        <v>26</v>
      </c>
      <c r="B276" t="s">
        <v>99</v>
      </c>
      <c r="C276" t="s">
        <v>25</v>
      </c>
      <c r="D276">
        <v>2015</v>
      </c>
      <c r="E276" t="s">
        <v>36</v>
      </c>
      <c r="F276" s="10">
        <v>1400000</v>
      </c>
    </row>
    <row r="277" spans="1:6" hidden="1" x14ac:dyDescent="0.3">
      <c r="A277" t="s">
        <v>53</v>
      </c>
      <c r="B277" t="s">
        <v>99</v>
      </c>
      <c r="C277" t="s">
        <v>25</v>
      </c>
      <c r="D277">
        <v>2015</v>
      </c>
      <c r="E277" t="s">
        <v>36</v>
      </c>
      <c r="F277" s="10">
        <v>2500000</v>
      </c>
    </row>
    <row r="278" spans="1:6" hidden="1" x14ac:dyDescent="0.3">
      <c r="A278" t="s">
        <v>54</v>
      </c>
      <c r="B278" t="s">
        <v>99</v>
      </c>
      <c r="C278" t="s">
        <v>25</v>
      </c>
      <c r="D278">
        <v>2020</v>
      </c>
      <c r="E278" t="s">
        <v>36</v>
      </c>
      <c r="F278" s="10">
        <f>F275</f>
        <v>9200000</v>
      </c>
    </row>
    <row r="279" spans="1:6" hidden="1" x14ac:dyDescent="0.3">
      <c r="A279" t="s">
        <v>26</v>
      </c>
      <c r="B279" t="s">
        <v>99</v>
      </c>
      <c r="C279" t="s">
        <v>25</v>
      </c>
      <c r="D279">
        <v>2020</v>
      </c>
      <c r="E279" t="s">
        <v>115</v>
      </c>
      <c r="F279" s="10">
        <v>1400000</v>
      </c>
    </row>
    <row r="280" spans="1:6" hidden="1" x14ac:dyDescent="0.3">
      <c r="A280" t="s">
        <v>53</v>
      </c>
      <c r="B280" t="s">
        <v>99</v>
      </c>
      <c r="C280" t="s">
        <v>25</v>
      </c>
      <c r="D280">
        <v>2020</v>
      </c>
      <c r="E280" t="s">
        <v>36</v>
      </c>
      <c r="F280" s="10">
        <v>2500000</v>
      </c>
    </row>
    <row r="281" spans="1:6" hidden="1" x14ac:dyDescent="0.3">
      <c r="A281" t="s">
        <v>54</v>
      </c>
      <c r="B281" t="s">
        <v>99</v>
      </c>
      <c r="C281" t="s">
        <v>25</v>
      </c>
      <c r="D281">
        <v>2030</v>
      </c>
      <c r="E281" t="s">
        <v>36</v>
      </c>
      <c r="F281" s="10">
        <f>F278</f>
        <v>9200000</v>
      </c>
    </row>
    <row r="282" spans="1:6" hidden="1" x14ac:dyDescent="0.3">
      <c r="A282" t="s">
        <v>26</v>
      </c>
      <c r="B282" t="s">
        <v>99</v>
      </c>
      <c r="C282" t="s">
        <v>25</v>
      </c>
      <c r="D282">
        <v>2030</v>
      </c>
      <c r="E282" t="s">
        <v>115</v>
      </c>
      <c r="F282" s="10">
        <v>1400000</v>
      </c>
    </row>
    <row r="283" spans="1:6" hidden="1" x14ac:dyDescent="0.3">
      <c r="A283" t="s">
        <v>53</v>
      </c>
      <c r="B283" t="s">
        <v>99</v>
      </c>
      <c r="C283" t="s">
        <v>25</v>
      </c>
      <c r="D283">
        <v>2030</v>
      </c>
      <c r="E283" t="s">
        <v>36</v>
      </c>
      <c r="F283" s="10">
        <v>2500000</v>
      </c>
    </row>
    <row r="284" spans="1:6" hidden="1" x14ac:dyDescent="0.3">
      <c r="A284" t="s">
        <v>54</v>
      </c>
      <c r="B284" t="s">
        <v>99</v>
      </c>
      <c r="C284" t="s">
        <v>25</v>
      </c>
      <c r="D284">
        <v>2040</v>
      </c>
      <c r="E284" t="s">
        <v>36</v>
      </c>
      <c r="F284" s="10">
        <f>F281</f>
        <v>9200000</v>
      </c>
    </row>
    <row r="285" spans="1:6" hidden="1" x14ac:dyDescent="0.3">
      <c r="A285" t="s">
        <v>26</v>
      </c>
      <c r="B285" t="s">
        <v>99</v>
      </c>
      <c r="C285" t="s">
        <v>25</v>
      </c>
      <c r="D285">
        <v>2040</v>
      </c>
      <c r="E285" t="s">
        <v>115</v>
      </c>
      <c r="F285" s="10">
        <v>1400000</v>
      </c>
    </row>
    <row r="286" spans="1:6" hidden="1" x14ac:dyDescent="0.3">
      <c r="A286" t="s">
        <v>53</v>
      </c>
      <c r="B286" t="s">
        <v>99</v>
      </c>
      <c r="C286" t="s">
        <v>25</v>
      </c>
      <c r="D286">
        <v>2040</v>
      </c>
      <c r="E286" t="s">
        <v>36</v>
      </c>
      <c r="F286" s="10">
        <v>2500000</v>
      </c>
    </row>
    <row r="287" spans="1:6" hidden="1" x14ac:dyDescent="0.3">
      <c r="A287" t="s">
        <v>54</v>
      </c>
      <c r="B287" t="s">
        <v>99</v>
      </c>
      <c r="C287" t="s">
        <v>25</v>
      </c>
      <c r="D287">
        <v>2050</v>
      </c>
      <c r="E287" t="s">
        <v>36</v>
      </c>
      <c r="F287" s="10">
        <f>F284</f>
        <v>9200000</v>
      </c>
    </row>
    <row r="288" spans="1:6" hidden="1" x14ac:dyDescent="0.3">
      <c r="A288" t="s">
        <v>26</v>
      </c>
      <c r="B288" t="s">
        <v>99</v>
      </c>
      <c r="C288" t="s">
        <v>25</v>
      </c>
      <c r="D288">
        <v>2050</v>
      </c>
      <c r="E288" t="s">
        <v>115</v>
      </c>
      <c r="F288" s="10">
        <v>1400000</v>
      </c>
    </row>
    <row r="289" spans="1:6" hidden="1" x14ac:dyDescent="0.3">
      <c r="A289" t="s">
        <v>53</v>
      </c>
      <c r="B289" t="s">
        <v>99</v>
      </c>
      <c r="C289" t="s">
        <v>25</v>
      </c>
      <c r="D289">
        <v>2050</v>
      </c>
      <c r="E289" t="s">
        <v>36</v>
      </c>
      <c r="F289" s="10">
        <v>2500000</v>
      </c>
    </row>
    <row r="290" spans="1:6" hidden="1" x14ac:dyDescent="0.3">
      <c r="A290" t="s">
        <v>54</v>
      </c>
      <c r="B290" t="s">
        <v>99</v>
      </c>
      <c r="C290" t="s">
        <v>87</v>
      </c>
      <c r="D290">
        <v>2015</v>
      </c>
      <c r="E290" t="s">
        <v>36</v>
      </c>
      <c r="F290" s="10">
        <v>880000.00000000012</v>
      </c>
    </row>
    <row r="291" spans="1:6" hidden="1" x14ac:dyDescent="0.3">
      <c r="A291" t="s">
        <v>26</v>
      </c>
      <c r="B291" t="s">
        <v>99</v>
      </c>
      <c r="C291" t="s">
        <v>87</v>
      </c>
      <c r="D291">
        <v>2015</v>
      </c>
      <c r="E291" t="s">
        <v>36</v>
      </c>
      <c r="F291" s="10">
        <v>0</v>
      </c>
    </row>
    <row r="292" spans="1:6" hidden="1" x14ac:dyDescent="0.3">
      <c r="A292" t="s">
        <v>53</v>
      </c>
      <c r="B292" t="s">
        <v>99</v>
      </c>
      <c r="C292" t="s">
        <v>87</v>
      </c>
      <c r="D292">
        <v>2015</v>
      </c>
      <c r="E292" t="s">
        <v>36</v>
      </c>
      <c r="F292" s="10">
        <v>100000</v>
      </c>
    </row>
    <row r="293" spans="1:6" hidden="1" x14ac:dyDescent="0.3">
      <c r="A293" t="s">
        <v>54</v>
      </c>
      <c r="B293" t="s">
        <v>99</v>
      </c>
      <c r="C293" t="s">
        <v>87</v>
      </c>
      <c r="D293">
        <v>2020</v>
      </c>
      <c r="E293" t="s">
        <v>36</v>
      </c>
      <c r="F293" s="10">
        <f>F290</f>
        <v>880000.00000000012</v>
      </c>
    </row>
    <row r="294" spans="1:6" hidden="1" x14ac:dyDescent="0.3">
      <c r="A294" t="s">
        <v>26</v>
      </c>
      <c r="B294" t="s">
        <v>99</v>
      </c>
      <c r="C294" t="s">
        <v>87</v>
      </c>
      <c r="D294">
        <v>2020</v>
      </c>
      <c r="E294" t="s">
        <v>115</v>
      </c>
      <c r="F294" s="10">
        <v>0</v>
      </c>
    </row>
    <row r="295" spans="1:6" hidden="1" x14ac:dyDescent="0.3">
      <c r="A295" t="s">
        <v>53</v>
      </c>
      <c r="B295" t="s">
        <v>99</v>
      </c>
      <c r="C295" t="s">
        <v>87</v>
      </c>
      <c r="D295">
        <v>2020</v>
      </c>
      <c r="E295" t="s">
        <v>36</v>
      </c>
      <c r="F295" s="10">
        <v>100000</v>
      </c>
    </row>
    <row r="296" spans="1:6" hidden="1" x14ac:dyDescent="0.3">
      <c r="A296" t="s">
        <v>54</v>
      </c>
      <c r="B296" t="s">
        <v>99</v>
      </c>
      <c r="C296" t="s">
        <v>87</v>
      </c>
      <c r="D296">
        <v>2030</v>
      </c>
      <c r="E296" t="s">
        <v>36</v>
      </c>
      <c r="F296" s="10">
        <f>F293</f>
        <v>880000.00000000012</v>
      </c>
    </row>
    <row r="297" spans="1:6" hidden="1" x14ac:dyDescent="0.3">
      <c r="A297" t="s">
        <v>26</v>
      </c>
      <c r="B297" t="s">
        <v>99</v>
      </c>
      <c r="C297" t="s">
        <v>87</v>
      </c>
      <c r="D297">
        <v>2030</v>
      </c>
      <c r="E297" t="s">
        <v>115</v>
      </c>
      <c r="F297" s="10">
        <v>0</v>
      </c>
    </row>
    <row r="298" spans="1:6" hidden="1" x14ac:dyDescent="0.3">
      <c r="A298" t="s">
        <v>53</v>
      </c>
      <c r="B298" t="s">
        <v>99</v>
      </c>
      <c r="C298" t="s">
        <v>87</v>
      </c>
      <c r="D298">
        <v>2030</v>
      </c>
      <c r="E298" t="s">
        <v>36</v>
      </c>
      <c r="F298" s="10">
        <v>100000</v>
      </c>
    </row>
    <row r="299" spans="1:6" hidden="1" x14ac:dyDescent="0.3">
      <c r="A299" t="s">
        <v>54</v>
      </c>
      <c r="B299" t="s">
        <v>99</v>
      </c>
      <c r="C299" t="s">
        <v>87</v>
      </c>
      <c r="D299">
        <v>2040</v>
      </c>
      <c r="E299" t="s">
        <v>36</v>
      </c>
      <c r="F299" s="10">
        <f>F296</f>
        <v>880000.00000000012</v>
      </c>
    </row>
    <row r="300" spans="1:6" hidden="1" x14ac:dyDescent="0.3">
      <c r="A300" t="s">
        <v>26</v>
      </c>
      <c r="B300" t="s">
        <v>99</v>
      </c>
      <c r="C300" t="s">
        <v>87</v>
      </c>
      <c r="D300">
        <v>2040</v>
      </c>
      <c r="E300" t="s">
        <v>115</v>
      </c>
      <c r="F300" s="10">
        <v>0</v>
      </c>
    </row>
    <row r="301" spans="1:6" hidden="1" x14ac:dyDescent="0.3">
      <c r="A301" t="s">
        <v>53</v>
      </c>
      <c r="B301" t="s">
        <v>99</v>
      </c>
      <c r="C301" t="s">
        <v>87</v>
      </c>
      <c r="D301">
        <v>2040</v>
      </c>
      <c r="E301" t="s">
        <v>36</v>
      </c>
      <c r="F301" s="10">
        <v>100000</v>
      </c>
    </row>
    <row r="302" spans="1:6" hidden="1" x14ac:dyDescent="0.3">
      <c r="A302" t="s">
        <v>54</v>
      </c>
      <c r="B302" t="s">
        <v>99</v>
      </c>
      <c r="C302" t="s">
        <v>87</v>
      </c>
      <c r="D302">
        <v>2050</v>
      </c>
      <c r="E302" t="s">
        <v>36</v>
      </c>
      <c r="F302" s="10">
        <f>F299</f>
        <v>880000.00000000012</v>
      </c>
    </row>
    <row r="303" spans="1:6" hidden="1" x14ac:dyDescent="0.3">
      <c r="A303" t="s">
        <v>26</v>
      </c>
      <c r="B303" t="s">
        <v>99</v>
      </c>
      <c r="C303" t="s">
        <v>87</v>
      </c>
      <c r="D303">
        <v>2050</v>
      </c>
      <c r="E303" t="s">
        <v>115</v>
      </c>
      <c r="F303" s="10">
        <v>0</v>
      </c>
    </row>
    <row r="304" spans="1:6" hidden="1" x14ac:dyDescent="0.3">
      <c r="A304" t="s">
        <v>53</v>
      </c>
      <c r="B304" t="s">
        <v>99</v>
      </c>
      <c r="C304" t="s">
        <v>87</v>
      </c>
      <c r="D304">
        <v>2050</v>
      </c>
      <c r="E304" t="s">
        <v>36</v>
      </c>
      <c r="F304" s="10">
        <v>100000</v>
      </c>
    </row>
    <row r="305" spans="1:6" hidden="1" x14ac:dyDescent="0.3">
      <c r="A305" t="s">
        <v>54</v>
      </c>
      <c r="B305" t="s">
        <v>99</v>
      </c>
      <c r="C305" t="s">
        <v>88</v>
      </c>
      <c r="D305">
        <v>2015</v>
      </c>
      <c r="E305" t="s">
        <v>36</v>
      </c>
      <c r="F305">
        <v>0</v>
      </c>
    </row>
    <row r="306" spans="1:6" hidden="1" x14ac:dyDescent="0.3">
      <c r="A306" t="s">
        <v>26</v>
      </c>
      <c r="B306" t="s">
        <v>99</v>
      </c>
      <c r="C306" t="s">
        <v>88</v>
      </c>
      <c r="D306">
        <v>2015</v>
      </c>
      <c r="E306" t="s">
        <v>36</v>
      </c>
      <c r="F306">
        <v>1000</v>
      </c>
    </row>
    <row r="307" spans="1:6" hidden="1" x14ac:dyDescent="0.3">
      <c r="A307" t="s">
        <v>53</v>
      </c>
      <c r="B307" t="s">
        <v>99</v>
      </c>
      <c r="C307" t="s">
        <v>88</v>
      </c>
      <c r="D307">
        <v>2015</v>
      </c>
      <c r="E307" t="s">
        <v>36</v>
      </c>
      <c r="F307">
        <v>600000</v>
      </c>
    </row>
    <row r="308" spans="1:6" hidden="1" x14ac:dyDescent="0.3">
      <c r="A308" t="s">
        <v>54</v>
      </c>
      <c r="B308" t="s">
        <v>99</v>
      </c>
      <c r="C308" t="s">
        <v>88</v>
      </c>
      <c r="D308">
        <v>2020</v>
      </c>
      <c r="E308" t="s">
        <v>36</v>
      </c>
      <c r="F308">
        <v>0</v>
      </c>
    </row>
    <row r="309" spans="1:6" hidden="1" x14ac:dyDescent="0.3">
      <c r="A309" t="s">
        <v>26</v>
      </c>
      <c r="B309" t="s">
        <v>99</v>
      </c>
      <c r="C309" t="s">
        <v>88</v>
      </c>
      <c r="D309">
        <v>2020</v>
      </c>
      <c r="E309" t="s">
        <v>115</v>
      </c>
      <c r="F309">
        <v>1000</v>
      </c>
    </row>
    <row r="310" spans="1:6" hidden="1" x14ac:dyDescent="0.3">
      <c r="A310" t="s">
        <v>53</v>
      </c>
      <c r="B310" t="s">
        <v>99</v>
      </c>
      <c r="C310" t="s">
        <v>88</v>
      </c>
      <c r="D310">
        <v>2020</v>
      </c>
      <c r="E310" t="s">
        <v>36</v>
      </c>
      <c r="F310">
        <v>600000</v>
      </c>
    </row>
    <row r="311" spans="1:6" hidden="1" x14ac:dyDescent="0.3">
      <c r="A311" t="s">
        <v>54</v>
      </c>
      <c r="B311" t="s">
        <v>99</v>
      </c>
      <c r="C311" t="s">
        <v>88</v>
      </c>
      <c r="D311">
        <v>2030</v>
      </c>
      <c r="E311" t="s">
        <v>36</v>
      </c>
      <c r="F311">
        <v>0</v>
      </c>
    </row>
    <row r="312" spans="1:6" hidden="1" x14ac:dyDescent="0.3">
      <c r="A312" t="s">
        <v>26</v>
      </c>
      <c r="B312" t="s">
        <v>99</v>
      </c>
      <c r="C312" t="s">
        <v>88</v>
      </c>
      <c r="D312">
        <v>2030</v>
      </c>
      <c r="E312" t="s">
        <v>115</v>
      </c>
      <c r="F312">
        <v>1000</v>
      </c>
    </row>
    <row r="313" spans="1:6" hidden="1" x14ac:dyDescent="0.3">
      <c r="A313" t="s">
        <v>53</v>
      </c>
      <c r="B313" t="s">
        <v>99</v>
      </c>
      <c r="C313" t="s">
        <v>88</v>
      </c>
      <c r="D313">
        <v>2030</v>
      </c>
      <c r="E313" t="s">
        <v>36</v>
      </c>
      <c r="F313">
        <v>600000</v>
      </c>
    </row>
    <row r="314" spans="1:6" hidden="1" x14ac:dyDescent="0.3">
      <c r="A314" t="s">
        <v>54</v>
      </c>
      <c r="B314" t="s">
        <v>99</v>
      </c>
      <c r="C314" t="s">
        <v>88</v>
      </c>
      <c r="D314">
        <v>2040</v>
      </c>
      <c r="E314" t="s">
        <v>36</v>
      </c>
      <c r="F314">
        <v>0</v>
      </c>
    </row>
    <row r="315" spans="1:6" hidden="1" x14ac:dyDescent="0.3">
      <c r="A315" t="s">
        <v>26</v>
      </c>
      <c r="B315" t="s">
        <v>99</v>
      </c>
      <c r="C315" t="s">
        <v>88</v>
      </c>
      <c r="D315">
        <v>2040</v>
      </c>
      <c r="E315" t="s">
        <v>115</v>
      </c>
      <c r="F315">
        <v>1000</v>
      </c>
    </row>
    <row r="316" spans="1:6" hidden="1" x14ac:dyDescent="0.3">
      <c r="A316" t="s">
        <v>53</v>
      </c>
      <c r="B316" t="s">
        <v>99</v>
      </c>
      <c r="C316" t="s">
        <v>88</v>
      </c>
      <c r="D316">
        <v>2040</v>
      </c>
      <c r="E316" t="s">
        <v>36</v>
      </c>
      <c r="F316">
        <v>600000</v>
      </c>
    </row>
    <row r="317" spans="1:6" hidden="1" x14ac:dyDescent="0.3">
      <c r="A317" t="s">
        <v>54</v>
      </c>
      <c r="B317" t="s">
        <v>99</v>
      </c>
      <c r="C317" t="s">
        <v>88</v>
      </c>
      <c r="D317">
        <v>2050</v>
      </c>
      <c r="E317" t="s">
        <v>36</v>
      </c>
      <c r="F317">
        <v>0</v>
      </c>
    </row>
    <row r="318" spans="1:6" hidden="1" x14ac:dyDescent="0.3">
      <c r="A318" t="s">
        <v>26</v>
      </c>
      <c r="B318" t="s">
        <v>99</v>
      </c>
      <c r="C318" t="s">
        <v>88</v>
      </c>
      <c r="D318">
        <v>2050</v>
      </c>
      <c r="E318" t="s">
        <v>115</v>
      </c>
      <c r="F318">
        <v>1000</v>
      </c>
    </row>
    <row r="319" spans="1:6" hidden="1" x14ac:dyDescent="0.3">
      <c r="A319" t="s">
        <v>53</v>
      </c>
      <c r="B319" t="s">
        <v>99</v>
      </c>
      <c r="C319" t="s">
        <v>88</v>
      </c>
      <c r="D319">
        <v>2050</v>
      </c>
      <c r="E319" t="s">
        <v>36</v>
      </c>
      <c r="F319">
        <v>600000</v>
      </c>
    </row>
    <row r="320" spans="1:6" hidden="1" x14ac:dyDescent="0.3">
      <c r="A320" t="s">
        <v>54</v>
      </c>
      <c r="B320" t="s">
        <v>99</v>
      </c>
      <c r="C320" t="s">
        <v>89</v>
      </c>
      <c r="D320">
        <v>2015</v>
      </c>
      <c r="E320" t="s">
        <v>36</v>
      </c>
      <c r="F320">
        <v>2700000</v>
      </c>
    </row>
    <row r="321" spans="1:6" hidden="1" x14ac:dyDescent="0.3">
      <c r="A321" t="s">
        <v>26</v>
      </c>
      <c r="B321" t="s">
        <v>99</v>
      </c>
      <c r="C321" t="s">
        <v>89</v>
      </c>
      <c r="D321">
        <v>2015</v>
      </c>
      <c r="E321" t="s">
        <v>36</v>
      </c>
      <c r="F321">
        <v>1000</v>
      </c>
    </row>
    <row r="322" spans="1:6" hidden="1" x14ac:dyDescent="0.3">
      <c r="A322" t="s">
        <v>53</v>
      </c>
      <c r="B322" t="s">
        <v>99</v>
      </c>
      <c r="C322" t="s">
        <v>89</v>
      </c>
      <c r="D322">
        <v>2015</v>
      </c>
      <c r="E322" t="s">
        <v>36</v>
      </c>
      <c r="F322">
        <v>400000</v>
      </c>
    </row>
    <row r="323" spans="1:6" hidden="1" x14ac:dyDescent="0.3">
      <c r="A323" t="s">
        <v>54</v>
      </c>
      <c r="B323" t="s">
        <v>99</v>
      </c>
      <c r="C323" t="s">
        <v>89</v>
      </c>
      <c r="D323">
        <v>2020</v>
      </c>
      <c r="E323" t="s">
        <v>36</v>
      </c>
      <c r="F323">
        <f>F320</f>
        <v>2700000</v>
      </c>
    </row>
    <row r="324" spans="1:6" hidden="1" x14ac:dyDescent="0.3">
      <c r="A324" t="s">
        <v>26</v>
      </c>
      <c r="B324" t="s">
        <v>99</v>
      </c>
      <c r="C324" t="s">
        <v>89</v>
      </c>
      <c r="D324">
        <v>2020</v>
      </c>
      <c r="E324" t="s">
        <v>115</v>
      </c>
      <c r="F324">
        <v>1000</v>
      </c>
    </row>
    <row r="325" spans="1:6" hidden="1" x14ac:dyDescent="0.3">
      <c r="A325" t="s">
        <v>53</v>
      </c>
      <c r="B325" t="s">
        <v>99</v>
      </c>
      <c r="C325" t="s">
        <v>89</v>
      </c>
      <c r="D325">
        <v>2020</v>
      </c>
      <c r="E325" t="s">
        <v>36</v>
      </c>
      <c r="F325">
        <v>400000</v>
      </c>
    </row>
    <row r="326" spans="1:6" hidden="1" x14ac:dyDescent="0.3">
      <c r="A326" t="s">
        <v>54</v>
      </c>
      <c r="B326" t="s">
        <v>99</v>
      </c>
      <c r="C326" t="s">
        <v>89</v>
      </c>
      <c r="D326">
        <v>2030</v>
      </c>
      <c r="E326" t="s">
        <v>36</v>
      </c>
      <c r="F326">
        <f>F323</f>
        <v>2700000</v>
      </c>
    </row>
    <row r="327" spans="1:6" hidden="1" x14ac:dyDescent="0.3">
      <c r="A327" t="s">
        <v>26</v>
      </c>
      <c r="B327" t="s">
        <v>99</v>
      </c>
      <c r="C327" t="s">
        <v>89</v>
      </c>
      <c r="D327">
        <v>2030</v>
      </c>
      <c r="E327" t="s">
        <v>115</v>
      </c>
      <c r="F327">
        <v>1000</v>
      </c>
    </row>
    <row r="328" spans="1:6" hidden="1" x14ac:dyDescent="0.3">
      <c r="A328" t="s">
        <v>53</v>
      </c>
      <c r="B328" t="s">
        <v>99</v>
      </c>
      <c r="C328" t="s">
        <v>89</v>
      </c>
      <c r="D328">
        <v>2030</v>
      </c>
      <c r="E328" t="s">
        <v>36</v>
      </c>
      <c r="F328">
        <v>400000</v>
      </c>
    </row>
    <row r="329" spans="1:6" hidden="1" x14ac:dyDescent="0.3">
      <c r="A329" t="s">
        <v>54</v>
      </c>
      <c r="B329" t="s">
        <v>99</v>
      </c>
      <c r="C329" t="s">
        <v>89</v>
      </c>
      <c r="D329">
        <v>2040</v>
      </c>
      <c r="E329" t="s">
        <v>36</v>
      </c>
      <c r="F329">
        <f>F326</f>
        <v>2700000</v>
      </c>
    </row>
    <row r="330" spans="1:6" hidden="1" x14ac:dyDescent="0.3">
      <c r="A330" t="s">
        <v>26</v>
      </c>
      <c r="B330" t="s">
        <v>99</v>
      </c>
      <c r="C330" t="s">
        <v>89</v>
      </c>
      <c r="D330">
        <v>2040</v>
      </c>
      <c r="E330" t="s">
        <v>115</v>
      </c>
      <c r="F330">
        <v>1000</v>
      </c>
    </row>
    <row r="331" spans="1:6" hidden="1" x14ac:dyDescent="0.3">
      <c r="A331" t="s">
        <v>53</v>
      </c>
      <c r="B331" t="s">
        <v>99</v>
      </c>
      <c r="C331" t="s">
        <v>89</v>
      </c>
      <c r="D331">
        <v>2040</v>
      </c>
      <c r="E331" t="s">
        <v>36</v>
      </c>
      <c r="F331">
        <v>400000</v>
      </c>
    </row>
    <row r="332" spans="1:6" hidden="1" x14ac:dyDescent="0.3">
      <c r="A332" t="s">
        <v>54</v>
      </c>
      <c r="B332" t="s">
        <v>99</v>
      </c>
      <c r="C332" t="s">
        <v>89</v>
      </c>
      <c r="D332">
        <v>2050</v>
      </c>
      <c r="E332" t="s">
        <v>36</v>
      </c>
      <c r="F332">
        <f>F329</f>
        <v>2700000</v>
      </c>
    </row>
    <row r="333" spans="1:6" hidden="1" x14ac:dyDescent="0.3">
      <c r="A333" t="s">
        <v>26</v>
      </c>
      <c r="B333" t="s">
        <v>99</v>
      </c>
      <c r="C333" t="s">
        <v>89</v>
      </c>
      <c r="D333">
        <v>2050</v>
      </c>
      <c r="E333" t="s">
        <v>115</v>
      </c>
      <c r="F333">
        <v>1000</v>
      </c>
    </row>
    <row r="334" spans="1:6" hidden="1" x14ac:dyDescent="0.3">
      <c r="A334" t="s">
        <v>53</v>
      </c>
      <c r="B334" t="s">
        <v>99</v>
      </c>
      <c r="C334" t="s">
        <v>89</v>
      </c>
      <c r="D334">
        <v>2050</v>
      </c>
      <c r="E334" t="s">
        <v>36</v>
      </c>
      <c r="F334">
        <v>400000</v>
      </c>
    </row>
    <row r="335" spans="1:6" hidden="1" x14ac:dyDescent="0.3">
      <c r="A335" t="s">
        <v>54</v>
      </c>
      <c r="B335" t="s">
        <v>99</v>
      </c>
      <c r="C335" t="s">
        <v>90</v>
      </c>
      <c r="D335">
        <v>2015</v>
      </c>
      <c r="E335" t="s">
        <v>36</v>
      </c>
      <c r="F335">
        <v>3700000</v>
      </c>
    </row>
    <row r="336" spans="1:6" hidden="1" x14ac:dyDescent="0.3">
      <c r="A336" t="s">
        <v>26</v>
      </c>
      <c r="B336" t="s">
        <v>99</v>
      </c>
      <c r="C336" t="s">
        <v>90</v>
      </c>
      <c r="D336">
        <v>2015</v>
      </c>
      <c r="E336" t="s">
        <v>36</v>
      </c>
      <c r="F336">
        <v>5000</v>
      </c>
    </row>
    <row r="337" spans="1:6" hidden="1" x14ac:dyDescent="0.3">
      <c r="A337" t="s">
        <v>53</v>
      </c>
      <c r="B337" t="s">
        <v>99</v>
      </c>
      <c r="C337" t="s">
        <v>90</v>
      </c>
      <c r="D337">
        <v>2015</v>
      </c>
      <c r="E337" t="s">
        <v>36</v>
      </c>
      <c r="F337">
        <v>0</v>
      </c>
    </row>
    <row r="338" spans="1:6" hidden="1" x14ac:dyDescent="0.3">
      <c r="A338" t="s">
        <v>54</v>
      </c>
      <c r="B338" t="s">
        <v>99</v>
      </c>
      <c r="C338" t="s">
        <v>90</v>
      </c>
      <c r="D338">
        <v>2020</v>
      </c>
      <c r="E338" t="s">
        <v>36</v>
      </c>
      <c r="F338">
        <f>F335</f>
        <v>3700000</v>
      </c>
    </row>
    <row r="339" spans="1:6" hidden="1" x14ac:dyDescent="0.3">
      <c r="A339" t="s">
        <v>26</v>
      </c>
      <c r="B339" t="s">
        <v>99</v>
      </c>
      <c r="C339" t="s">
        <v>90</v>
      </c>
      <c r="D339">
        <v>2020</v>
      </c>
      <c r="E339" t="s">
        <v>115</v>
      </c>
      <c r="F339">
        <v>5000</v>
      </c>
    </row>
    <row r="340" spans="1:6" hidden="1" x14ac:dyDescent="0.3">
      <c r="A340" t="s">
        <v>53</v>
      </c>
      <c r="B340" t="s">
        <v>99</v>
      </c>
      <c r="C340" t="s">
        <v>90</v>
      </c>
      <c r="D340">
        <v>2020</v>
      </c>
      <c r="E340" t="s">
        <v>36</v>
      </c>
      <c r="F340">
        <v>0</v>
      </c>
    </row>
    <row r="341" spans="1:6" hidden="1" x14ac:dyDescent="0.3">
      <c r="A341" t="s">
        <v>54</v>
      </c>
      <c r="B341" t="s">
        <v>99</v>
      </c>
      <c r="C341" t="s">
        <v>90</v>
      </c>
      <c r="D341">
        <v>2030</v>
      </c>
      <c r="E341" t="s">
        <v>36</v>
      </c>
      <c r="F341">
        <f>F338</f>
        <v>3700000</v>
      </c>
    </row>
    <row r="342" spans="1:6" hidden="1" x14ac:dyDescent="0.3">
      <c r="A342" t="s">
        <v>26</v>
      </c>
      <c r="B342" t="s">
        <v>99</v>
      </c>
      <c r="C342" t="s">
        <v>90</v>
      </c>
      <c r="D342">
        <v>2030</v>
      </c>
      <c r="E342" t="s">
        <v>115</v>
      </c>
      <c r="F342">
        <v>5000</v>
      </c>
    </row>
    <row r="343" spans="1:6" hidden="1" x14ac:dyDescent="0.3">
      <c r="A343" t="s">
        <v>53</v>
      </c>
      <c r="B343" t="s">
        <v>99</v>
      </c>
      <c r="C343" t="s">
        <v>90</v>
      </c>
      <c r="D343">
        <v>2030</v>
      </c>
      <c r="E343" t="s">
        <v>36</v>
      </c>
      <c r="F343">
        <v>0</v>
      </c>
    </row>
    <row r="344" spans="1:6" hidden="1" x14ac:dyDescent="0.3">
      <c r="A344" t="s">
        <v>54</v>
      </c>
      <c r="B344" t="s">
        <v>99</v>
      </c>
      <c r="C344" t="s">
        <v>90</v>
      </c>
      <c r="D344">
        <v>2040</v>
      </c>
      <c r="E344" t="s">
        <v>36</v>
      </c>
      <c r="F344">
        <f>F341</f>
        <v>3700000</v>
      </c>
    </row>
    <row r="345" spans="1:6" hidden="1" x14ac:dyDescent="0.3">
      <c r="A345" t="s">
        <v>26</v>
      </c>
      <c r="B345" t="s">
        <v>99</v>
      </c>
      <c r="C345" t="s">
        <v>90</v>
      </c>
      <c r="D345">
        <v>2040</v>
      </c>
      <c r="E345" t="s">
        <v>115</v>
      </c>
      <c r="F345">
        <v>5000</v>
      </c>
    </row>
    <row r="346" spans="1:6" hidden="1" x14ac:dyDescent="0.3">
      <c r="A346" t="s">
        <v>53</v>
      </c>
      <c r="B346" t="s">
        <v>99</v>
      </c>
      <c r="C346" t="s">
        <v>90</v>
      </c>
      <c r="D346">
        <v>2040</v>
      </c>
      <c r="E346" t="s">
        <v>36</v>
      </c>
      <c r="F346">
        <v>0</v>
      </c>
    </row>
    <row r="347" spans="1:6" hidden="1" x14ac:dyDescent="0.3">
      <c r="A347" t="s">
        <v>54</v>
      </c>
      <c r="B347" t="s">
        <v>99</v>
      </c>
      <c r="C347" t="s">
        <v>90</v>
      </c>
      <c r="D347">
        <v>2050</v>
      </c>
      <c r="E347" t="s">
        <v>36</v>
      </c>
      <c r="F347">
        <f>F344</f>
        <v>3700000</v>
      </c>
    </row>
    <row r="348" spans="1:6" hidden="1" x14ac:dyDescent="0.3">
      <c r="A348" t="s">
        <v>26</v>
      </c>
      <c r="B348" t="s">
        <v>99</v>
      </c>
      <c r="C348" t="s">
        <v>90</v>
      </c>
      <c r="D348">
        <v>2050</v>
      </c>
      <c r="E348" t="s">
        <v>115</v>
      </c>
      <c r="F348">
        <v>5000</v>
      </c>
    </row>
    <row r="349" spans="1:6" hidden="1" x14ac:dyDescent="0.3">
      <c r="A349" t="s">
        <v>53</v>
      </c>
      <c r="B349" t="s">
        <v>99</v>
      </c>
      <c r="C349" t="s">
        <v>90</v>
      </c>
      <c r="D349">
        <v>2050</v>
      </c>
      <c r="E349" t="s">
        <v>36</v>
      </c>
      <c r="F349">
        <v>0</v>
      </c>
    </row>
    <row r="350" spans="1:6" hidden="1" x14ac:dyDescent="0.3">
      <c r="A350" t="s">
        <v>20</v>
      </c>
      <c r="B350" t="s">
        <v>99</v>
      </c>
      <c r="E350" t="s">
        <v>13</v>
      </c>
      <c r="F350">
        <v>0</v>
      </c>
    </row>
    <row r="351" spans="1:6" hidden="1" x14ac:dyDescent="0.3">
      <c r="A351" t="s">
        <v>54</v>
      </c>
      <c r="B351" t="s">
        <v>99</v>
      </c>
      <c r="E351" t="s">
        <v>13</v>
      </c>
      <c r="F351">
        <v>1</v>
      </c>
    </row>
    <row r="352" spans="1:6" hidden="1" x14ac:dyDescent="0.3">
      <c r="A352" t="s">
        <v>26</v>
      </c>
      <c r="B352" t="s">
        <v>99</v>
      </c>
      <c r="E352" t="s">
        <v>13</v>
      </c>
      <c r="F352">
        <v>1</v>
      </c>
    </row>
    <row r="353" spans="1:6" hidden="1" x14ac:dyDescent="0.3">
      <c r="A353" t="s">
        <v>53</v>
      </c>
      <c r="B353" t="s">
        <v>99</v>
      </c>
      <c r="E353" t="s">
        <v>13</v>
      </c>
      <c r="F353">
        <v>1</v>
      </c>
    </row>
    <row r="354" spans="1:6" hidden="1" x14ac:dyDescent="0.3">
      <c r="A354" s="26" t="s">
        <v>56</v>
      </c>
      <c r="B354" s="25" t="s">
        <v>99</v>
      </c>
      <c r="C354" s="25"/>
      <c r="D354" s="25"/>
      <c r="E354" s="25" t="s">
        <v>13</v>
      </c>
      <c r="F354" s="29">
        <v>0</v>
      </c>
    </row>
    <row r="355" spans="1:6" hidden="1" x14ac:dyDescent="0.3">
      <c r="A355" s="26" t="s">
        <v>56</v>
      </c>
      <c r="B355" s="25" t="s">
        <v>99</v>
      </c>
      <c r="C355" s="25"/>
      <c r="D355" s="25"/>
      <c r="E355" s="25" t="s">
        <v>62</v>
      </c>
      <c r="F355" s="29">
        <v>1</v>
      </c>
    </row>
    <row r="356" spans="1:6" x14ac:dyDescent="0.3">
      <c r="A356" t="s">
        <v>12</v>
      </c>
      <c r="B356" t="s">
        <v>117</v>
      </c>
      <c r="C356" t="s">
        <v>24</v>
      </c>
      <c r="D356">
        <v>2015</v>
      </c>
      <c r="E356" t="s">
        <v>36</v>
      </c>
      <c r="F356" s="10">
        <v>9800000</v>
      </c>
    </row>
    <row r="357" spans="1:6" x14ac:dyDescent="0.3">
      <c r="A357" t="s">
        <v>17</v>
      </c>
      <c r="B357" t="s">
        <v>117</v>
      </c>
      <c r="C357" t="s">
        <v>24</v>
      </c>
      <c r="D357">
        <v>2015</v>
      </c>
      <c r="E357" t="s">
        <v>36</v>
      </c>
      <c r="F357" s="10">
        <v>5200000</v>
      </c>
    </row>
    <row r="358" spans="1:6" x14ac:dyDescent="0.3">
      <c r="A358" t="s">
        <v>12</v>
      </c>
      <c r="B358" t="s">
        <v>117</v>
      </c>
      <c r="C358" t="s">
        <v>24</v>
      </c>
      <c r="D358">
        <v>2020</v>
      </c>
      <c r="E358" t="s">
        <v>36</v>
      </c>
      <c r="F358" s="10">
        <v>9800000</v>
      </c>
    </row>
    <row r="359" spans="1:6" x14ac:dyDescent="0.3">
      <c r="A359" t="s">
        <v>17</v>
      </c>
      <c r="B359" t="s">
        <v>117</v>
      </c>
      <c r="C359" t="s">
        <v>24</v>
      </c>
      <c r="D359">
        <v>2020</v>
      </c>
      <c r="E359" t="s">
        <v>36</v>
      </c>
      <c r="F359" s="10">
        <v>5200000</v>
      </c>
    </row>
    <row r="360" spans="1:6" hidden="1" x14ac:dyDescent="0.3">
      <c r="A360" t="s">
        <v>22</v>
      </c>
      <c r="B360" t="s">
        <v>117</v>
      </c>
      <c r="E360" t="s">
        <v>62</v>
      </c>
      <c r="F360">
        <v>1</v>
      </c>
    </row>
    <row r="361" spans="1:6" hidden="1" x14ac:dyDescent="0.3">
      <c r="A361" t="s">
        <v>55</v>
      </c>
      <c r="B361" t="s">
        <v>117</v>
      </c>
      <c r="E361" t="s">
        <v>62</v>
      </c>
      <c r="F361">
        <v>1</v>
      </c>
    </row>
    <row r="362" spans="1:6" hidden="1" x14ac:dyDescent="0.3">
      <c r="A362" t="s">
        <v>11</v>
      </c>
      <c r="B362" t="s">
        <v>117</v>
      </c>
      <c r="E362" t="s">
        <v>13</v>
      </c>
      <c r="F362">
        <v>0</v>
      </c>
    </row>
    <row r="363" spans="1:6" x14ac:dyDescent="0.3">
      <c r="A363" t="s">
        <v>12</v>
      </c>
      <c r="B363" t="s">
        <v>117</v>
      </c>
      <c r="C363" t="s">
        <v>24</v>
      </c>
      <c r="D363">
        <v>2030</v>
      </c>
      <c r="E363" t="s">
        <v>36</v>
      </c>
      <c r="F363">
        <v>9800000</v>
      </c>
    </row>
    <row r="364" spans="1:6" x14ac:dyDescent="0.3">
      <c r="A364" t="s">
        <v>17</v>
      </c>
      <c r="B364" t="s">
        <v>117</v>
      </c>
      <c r="C364" t="s">
        <v>24</v>
      </c>
      <c r="D364">
        <v>2030</v>
      </c>
      <c r="E364" t="s">
        <v>36</v>
      </c>
      <c r="F364">
        <v>5200000</v>
      </c>
    </row>
    <row r="365" spans="1:6" x14ac:dyDescent="0.3">
      <c r="A365" t="s">
        <v>12</v>
      </c>
      <c r="B365" t="s">
        <v>117</v>
      </c>
      <c r="C365" t="s">
        <v>24</v>
      </c>
      <c r="D365">
        <v>2040</v>
      </c>
      <c r="E365" t="s">
        <v>36</v>
      </c>
      <c r="F365">
        <v>8650000</v>
      </c>
    </row>
    <row r="366" spans="1:6" x14ac:dyDescent="0.3">
      <c r="A366" t="s">
        <v>17</v>
      </c>
      <c r="B366" t="s">
        <v>117</v>
      </c>
      <c r="C366" t="s">
        <v>24</v>
      </c>
      <c r="D366">
        <v>2040</v>
      </c>
      <c r="E366" t="s">
        <v>36</v>
      </c>
      <c r="F366">
        <v>6350000</v>
      </c>
    </row>
    <row r="367" spans="1:6" x14ac:dyDescent="0.3">
      <c r="A367" t="s">
        <v>12</v>
      </c>
      <c r="B367" t="s">
        <v>117</v>
      </c>
      <c r="C367" t="s">
        <v>24</v>
      </c>
      <c r="D367">
        <v>2050</v>
      </c>
      <c r="E367" t="s">
        <v>36</v>
      </c>
      <c r="F367">
        <v>7500000</v>
      </c>
    </row>
    <row r="368" spans="1:6" x14ac:dyDescent="0.3">
      <c r="A368" t="s">
        <v>17</v>
      </c>
      <c r="B368" t="s">
        <v>117</v>
      </c>
      <c r="C368" t="s">
        <v>24</v>
      </c>
      <c r="D368">
        <v>2050</v>
      </c>
      <c r="E368" t="s">
        <v>36</v>
      </c>
      <c r="F368">
        <v>7500000</v>
      </c>
    </row>
    <row r="369" spans="1:6" x14ac:dyDescent="0.3">
      <c r="A369" t="s">
        <v>12</v>
      </c>
      <c r="B369" t="s">
        <v>117</v>
      </c>
      <c r="C369" t="s">
        <v>25</v>
      </c>
      <c r="D369">
        <v>2015</v>
      </c>
      <c r="E369" t="s">
        <v>36</v>
      </c>
      <c r="F369">
        <v>30000000</v>
      </c>
    </row>
    <row r="370" spans="1:6" x14ac:dyDescent="0.3">
      <c r="A370" t="s">
        <v>17</v>
      </c>
      <c r="B370" t="s">
        <v>117</v>
      </c>
      <c r="C370" t="s">
        <v>25</v>
      </c>
      <c r="D370">
        <v>2015</v>
      </c>
      <c r="E370" t="s">
        <v>36</v>
      </c>
      <c r="F370">
        <v>12600000</v>
      </c>
    </row>
    <row r="371" spans="1:6" x14ac:dyDescent="0.3">
      <c r="A371" t="s">
        <v>12</v>
      </c>
      <c r="B371" t="s">
        <v>117</v>
      </c>
      <c r="C371" t="s">
        <v>25</v>
      </c>
      <c r="D371">
        <v>2020</v>
      </c>
      <c r="E371" t="s">
        <v>36</v>
      </c>
      <c r="F371">
        <v>30000000</v>
      </c>
    </row>
    <row r="372" spans="1:6" x14ac:dyDescent="0.3">
      <c r="A372" t="s">
        <v>17</v>
      </c>
      <c r="B372" t="s">
        <v>117</v>
      </c>
      <c r="C372" t="s">
        <v>25</v>
      </c>
      <c r="D372">
        <v>2020</v>
      </c>
      <c r="E372" t="s">
        <v>36</v>
      </c>
      <c r="F372">
        <v>12600000</v>
      </c>
    </row>
    <row r="373" spans="1:6" x14ac:dyDescent="0.3">
      <c r="A373" t="s">
        <v>12</v>
      </c>
      <c r="B373" t="s">
        <v>117</v>
      </c>
      <c r="C373" t="s">
        <v>25</v>
      </c>
      <c r="D373">
        <v>2030</v>
      </c>
      <c r="E373" t="s">
        <v>36</v>
      </c>
      <c r="F373">
        <v>30000000</v>
      </c>
    </row>
    <row r="374" spans="1:6" x14ac:dyDescent="0.3">
      <c r="A374" t="s">
        <v>17</v>
      </c>
      <c r="B374" t="s">
        <v>117</v>
      </c>
      <c r="C374" t="s">
        <v>25</v>
      </c>
      <c r="D374">
        <v>2030</v>
      </c>
      <c r="E374" t="s">
        <v>36</v>
      </c>
      <c r="F374">
        <v>12600000</v>
      </c>
    </row>
    <row r="375" spans="1:6" x14ac:dyDescent="0.3">
      <c r="A375" t="s">
        <v>12</v>
      </c>
      <c r="B375" t="s">
        <v>117</v>
      </c>
      <c r="C375" t="s">
        <v>25</v>
      </c>
      <c r="D375">
        <v>2040</v>
      </c>
      <c r="E375" t="s">
        <v>36</v>
      </c>
      <c r="F375">
        <v>25650000</v>
      </c>
    </row>
    <row r="376" spans="1:6" x14ac:dyDescent="0.3">
      <c r="A376" t="s">
        <v>17</v>
      </c>
      <c r="B376" t="s">
        <v>117</v>
      </c>
      <c r="C376" t="s">
        <v>25</v>
      </c>
      <c r="D376">
        <v>2040</v>
      </c>
      <c r="E376" t="s">
        <v>36</v>
      </c>
      <c r="F376">
        <v>16950000</v>
      </c>
    </row>
    <row r="377" spans="1:6" x14ac:dyDescent="0.3">
      <c r="A377" t="s">
        <v>12</v>
      </c>
      <c r="B377" t="s">
        <v>117</v>
      </c>
      <c r="C377" t="s">
        <v>25</v>
      </c>
      <c r="D377">
        <v>2050</v>
      </c>
      <c r="E377" t="s">
        <v>36</v>
      </c>
      <c r="F377">
        <v>21300000</v>
      </c>
    </row>
    <row r="378" spans="1:6" x14ac:dyDescent="0.3">
      <c r="A378" t="s">
        <v>17</v>
      </c>
      <c r="B378" t="s">
        <v>117</v>
      </c>
      <c r="C378" t="s">
        <v>25</v>
      </c>
      <c r="D378">
        <v>2050</v>
      </c>
      <c r="E378" t="s">
        <v>36</v>
      </c>
      <c r="F378">
        <v>21300000</v>
      </c>
    </row>
    <row r="379" spans="1:6" x14ac:dyDescent="0.3">
      <c r="A379" t="s">
        <v>12</v>
      </c>
      <c r="B379" t="s">
        <v>117</v>
      </c>
      <c r="C379" t="s">
        <v>87</v>
      </c>
      <c r="D379">
        <v>2015</v>
      </c>
      <c r="E379" t="s">
        <v>36</v>
      </c>
      <c r="F379">
        <v>4800000</v>
      </c>
    </row>
    <row r="380" spans="1:6" x14ac:dyDescent="0.3">
      <c r="A380" t="s">
        <v>17</v>
      </c>
      <c r="B380" t="s">
        <v>117</v>
      </c>
      <c r="C380" t="s">
        <v>87</v>
      </c>
      <c r="D380">
        <v>2015</v>
      </c>
      <c r="E380" t="s">
        <v>36</v>
      </c>
      <c r="F380">
        <v>17200000</v>
      </c>
    </row>
    <row r="381" spans="1:6" x14ac:dyDescent="0.3">
      <c r="A381" t="s">
        <v>12</v>
      </c>
      <c r="B381" t="s">
        <v>117</v>
      </c>
      <c r="C381" t="s">
        <v>87</v>
      </c>
      <c r="D381">
        <v>2020</v>
      </c>
      <c r="E381" t="s">
        <v>36</v>
      </c>
      <c r="F381">
        <v>4800000</v>
      </c>
    </row>
    <row r="382" spans="1:6" x14ac:dyDescent="0.3">
      <c r="A382" t="s">
        <v>17</v>
      </c>
      <c r="B382" t="s">
        <v>117</v>
      </c>
      <c r="C382" t="s">
        <v>87</v>
      </c>
      <c r="D382">
        <v>2020</v>
      </c>
      <c r="E382" t="s">
        <v>36</v>
      </c>
      <c r="F382">
        <v>17200000</v>
      </c>
    </row>
    <row r="383" spans="1:6" x14ac:dyDescent="0.3">
      <c r="A383" t="s">
        <v>12</v>
      </c>
      <c r="B383" t="s">
        <v>117</v>
      </c>
      <c r="C383" t="s">
        <v>87</v>
      </c>
      <c r="D383">
        <v>2030</v>
      </c>
      <c r="E383" t="s">
        <v>36</v>
      </c>
      <c r="F383">
        <v>4800000</v>
      </c>
    </row>
    <row r="384" spans="1:6" x14ac:dyDescent="0.3">
      <c r="A384" t="s">
        <v>17</v>
      </c>
      <c r="B384" t="s">
        <v>117</v>
      </c>
      <c r="C384" t="s">
        <v>87</v>
      </c>
      <c r="D384">
        <v>2030</v>
      </c>
      <c r="E384" t="s">
        <v>36</v>
      </c>
      <c r="F384">
        <v>17200000</v>
      </c>
    </row>
    <row r="385" spans="1:6" x14ac:dyDescent="0.3">
      <c r="A385" t="s">
        <v>12</v>
      </c>
      <c r="B385" t="s">
        <v>117</v>
      </c>
      <c r="C385" t="s">
        <v>87</v>
      </c>
      <c r="D385">
        <v>2040</v>
      </c>
      <c r="E385" t="s">
        <v>36</v>
      </c>
      <c r="F385">
        <v>4800000</v>
      </c>
    </row>
    <row r="386" spans="1:6" x14ac:dyDescent="0.3">
      <c r="A386" t="s">
        <v>17</v>
      </c>
      <c r="B386" t="s">
        <v>117</v>
      </c>
      <c r="C386" t="s">
        <v>87</v>
      </c>
      <c r="D386">
        <v>2040</v>
      </c>
      <c r="E386" t="s">
        <v>36</v>
      </c>
      <c r="F386">
        <v>17200000</v>
      </c>
    </row>
    <row r="387" spans="1:6" x14ac:dyDescent="0.3">
      <c r="A387" t="s">
        <v>12</v>
      </c>
      <c r="B387" t="s">
        <v>117</v>
      </c>
      <c r="C387" t="s">
        <v>87</v>
      </c>
      <c r="D387">
        <v>2050</v>
      </c>
      <c r="E387" t="s">
        <v>36</v>
      </c>
      <c r="F387">
        <v>4800000</v>
      </c>
    </row>
    <row r="388" spans="1:6" x14ac:dyDescent="0.3">
      <c r="A388" t="s">
        <v>17</v>
      </c>
      <c r="B388" t="s">
        <v>117</v>
      </c>
      <c r="C388" t="s">
        <v>87</v>
      </c>
      <c r="D388">
        <v>2050</v>
      </c>
      <c r="E388" t="s">
        <v>36</v>
      </c>
      <c r="F388">
        <v>17200000</v>
      </c>
    </row>
    <row r="389" spans="1:6" x14ac:dyDescent="0.3">
      <c r="A389" t="s">
        <v>12</v>
      </c>
      <c r="B389" t="s">
        <v>117</v>
      </c>
      <c r="C389" t="s">
        <v>88</v>
      </c>
      <c r="D389">
        <v>2015</v>
      </c>
      <c r="E389" t="s">
        <v>36</v>
      </c>
      <c r="F389">
        <v>9000000</v>
      </c>
    </row>
    <row r="390" spans="1:6" x14ac:dyDescent="0.3">
      <c r="A390" t="s">
        <v>17</v>
      </c>
      <c r="B390" t="s">
        <v>117</v>
      </c>
      <c r="C390" t="s">
        <v>88</v>
      </c>
      <c r="D390">
        <v>2015</v>
      </c>
      <c r="E390" t="s">
        <v>36</v>
      </c>
      <c r="F390">
        <v>2000000</v>
      </c>
    </row>
    <row r="391" spans="1:6" x14ac:dyDescent="0.3">
      <c r="A391" t="s">
        <v>12</v>
      </c>
      <c r="B391" t="s">
        <v>117</v>
      </c>
      <c r="C391" t="s">
        <v>88</v>
      </c>
      <c r="D391">
        <v>2020</v>
      </c>
      <c r="E391" t="s">
        <v>36</v>
      </c>
      <c r="F391">
        <v>9000000</v>
      </c>
    </row>
    <row r="392" spans="1:6" x14ac:dyDescent="0.3">
      <c r="A392" t="s">
        <v>17</v>
      </c>
      <c r="B392" t="s">
        <v>117</v>
      </c>
      <c r="C392" t="s">
        <v>88</v>
      </c>
      <c r="D392">
        <v>2020</v>
      </c>
      <c r="E392" t="s">
        <v>36</v>
      </c>
      <c r="F392">
        <v>2000000</v>
      </c>
    </row>
    <row r="393" spans="1:6" x14ac:dyDescent="0.3">
      <c r="A393" t="s">
        <v>12</v>
      </c>
      <c r="B393" t="s">
        <v>117</v>
      </c>
      <c r="C393" t="s">
        <v>88</v>
      </c>
      <c r="D393">
        <v>2030</v>
      </c>
      <c r="E393" t="s">
        <v>36</v>
      </c>
      <c r="F393">
        <v>9000000</v>
      </c>
    </row>
    <row r="394" spans="1:6" x14ac:dyDescent="0.3">
      <c r="A394" t="s">
        <v>17</v>
      </c>
      <c r="B394" t="s">
        <v>117</v>
      </c>
      <c r="C394" t="s">
        <v>88</v>
      </c>
      <c r="D394">
        <v>2030</v>
      </c>
      <c r="E394" t="s">
        <v>36</v>
      </c>
      <c r="F394">
        <v>2000000</v>
      </c>
    </row>
    <row r="395" spans="1:6" x14ac:dyDescent="0.3">
      <c r="A395" t="s">
        <v>12</v>
      </c>
      <c r="B395" t="s">
        <v>117</v>
      </c>
      <c r="C395" t="s">
        <v>88</v>
      </c>
      <c r="D395">
        <v>2040</v>
      </c>
      <c r="E395" t="s">
        <v>36</v>
      </c>
      <c r="F395">
        <v>7250000</v>
      </c>
    </row>
    <row r="396" spans="1:6" x14ac:dyDescent="0.3">
      <c r="A396" t="s">
        <v>17</v>
      </c>
      <c r="B396" t="s">
        <v>117</v>
      </c>
      <c r="C396" t="s">
        <v>88</v>
      </c>
      <c r="D396">
        <v>2040</v>
      </c>
      <c r="E396" t="s">
        <v>36</v>
      </c>
      <c r="F396">
        <v>3750000</v>
      </c>
    </row>
    <row r="397" spans="1:6" x14ac:dyDescent="0.3">
      <c r="A397" t="s">
        <v>12</v>
      </c>
      <c r="B397" t="s">
        <v>117</v>
      </c>
      <c r="C397" t="s">
        <v>88</v>
      </c>
      <c r="D397">
        <v>2050</v>
      </c>
      <c r="E397" t="s">
        <v>36</v>
      </c>
      <c r="F397">
        <v>5500000</v>
      </c>
    </row>
    <row r="398" spans="1:6" x14ac:dyDescent="0.3">
      <c r="A398" t="s">
        <v>17</v>
      </c>
      <c r="B398" t="s">
        <v>117</v>
      </c>
      <c r="C398" t="s">
        <v>88</v>
      </c>
      <c r="D398">
        <v>2050</v>
      </c>
      <c r="E398" t="s">
        <v>36</v>
      </c>
      <c r="F398">
        <v>5500000</v>
      </c>
    </row>
    <row r="399" spans="1:6" x14ac:dyDescent="0.3">
      <c r="A399" t="s">
        <v>12</v>
      </c>
      <c r="B399" t="s">
        <v>117</v>
      </c>
      <c r="C399" t="s">
        <v>89</v>
      </c>
      <c r="D399">
        <v>2015</v>
      </c>
      <c r="E399" t="s">
        <v>36</v>
      </c>
      <c r="F399">
        <v>4700000</v>
      </c>
    </row>
    <row r="400" spans="1:6" x14ac:dyDescent="0.3">
      <c r="A400" t="s">
        <v>17</v>
      </c>
      <c r="B400" t="s">
        <v>117</v>
      </c>
      <c r="C400" t="s">
        <v>89</v>
      </c>
      <c r="D400">
        <v>2015</v>
      </c>
      <c r="E400" t="s">
        <v>36</v>
      </c>
      <c r="F400">
        <v>10000000</v>
      </c>
    </row>
    <row r="401" spans="1:6" x14ac:dyDescent="0.3">
      <c r="A401" t="s">
        <v>12</v>
      </c>
      <c r="B401" t="s">
        <v>117</v>
      </c>
      <c r="C401" t="s">
        <v>89</v>
      </c>
      <c r="D401">
        <v>2020</v>
      </c>
      <c r="E401" t="s">
        <v>36</v>
      </c>
      <c r="F401">
        <v>4700000</v>
      </c>
    </row>
    <row r="402" spans="1:6" x14ac:dyDescent="0.3">
      <c r="A402" t="s">
        <v>17</v>
      </c>
      <c r="B402" t="s">
        <v>117</v>
      </c>
      <c r="C402" t="s">
        <v>89</v>
      </c>
      <c r="D402">
        <v>2020</v>
      </c>
      <c r="E402" t="s">
        <v>36</v>
      </c>
      <c r="F402">
        <v>10000000</v>
      </c>
    </row>
    <row r="403" spans="1:6" x14ac:dyDescent="0.3">
      <c r="A403" t="s">
        <v>12</v>
      </c>
      <c r="B403" t="s">
        <v>117</v>
      </c>
      <c r="C403" t="s">
        <v>89</v>
      </c>
      <c r="D403">
        <v>2030</v>
      </c>
      <c r="E403" t="s">
        <v>36</v>
      </c>
      <c r="F403">
        <v>4700000</v>
      </c>
    </row>
    <row r="404" spans="1:6" x14ac:dyDescent="0.3">
      <c r="A404" t="s">
        <v>17</v>
      </c>
      <c r="B404" t="s">
        <v>117</v>
      </c>
      <c r="C404" t="s">
        <v>89</v>
      </c>
      <c r="D404">
        <v>2030</v>
      </c>
      <c r="E404" t="s">
        <v>36</v>
      </c>
      <c r="F404">
        <v>10000000</v>
      </c>
    </row>
    <row r="405" spans="1:6" x14ac:dyDescent="0.3">
      <c r="A405" t="s">
        <v>12</v>
      </c>
      <c r="B405" t="s">
        <v>117</v>
      </c>
      <c r="C405" t="s">
        <v>89</v>
      </c>
      <c r="D405">
        <v>2040</v>
      </c>
      <c r="E405" t="s">
        <v>36</v>
      </c>
      <c r="F405">
        <v>4700000</v>
      </c>
    </row>
    <row r="406" spans="1:6" x14ac:dyDescent="0.3">
      <c r="A406" t="s">
        <v>17</v>
      </c>
      <c r="B406" t="s">
        <v>117</v>
      </c>
      <c r="C406" t="s">
        <v>89</v>
      </c>
      <c r="D406">
        <v>2040</v>
      </c>
      <c r="E406" t="s">
        <v>36</v>
      </c>
      <c r="F406">
        <v>10000000</v>
      </c>
    </row>
    <row r="407" spans="1:6" x14ac:dyDescent="0.3">
      <c r="A407" t="s">
        <v>12</v>
      </c>
      <c r="B407" t="s">
        <v>117</v>
      </c>
      <c r="C407" t="s">
        <v>89</v>
      </c>
      <c r="D407">
        <v>2050</v>
      </c>
      <c r="E407" t="s">
        <v>36</v>
      </c>
      <c r="F407">
        <v>4700000</v>
      </c>
    </row>
    <row r="408" spans="1:6" x14ac:dyDescent="0.3">
      <c r="A408" t="s">
        <v>17</v>
      </c>
      <c r="B408" t="s">
        <v>117</v>
      </c>
      <c r="C408" t="s">
        <v>89</v>
      </c>
      <c r="D408">
        <v>2050</v>
      </c>
      <c r="E408" t="s">
        <v>36</v>
      </c>
      <c r="F408">
        <v>10000000</v>
      </c>
    </row>
    <row r="409" spans="1:6" x14ac:dyDescent="0.3">
      <c r="A409" t="s">
        <v>12</v>
      </c>
      <c r="B409" t="s">
        <v>117</v>
      </c>
      <c r="C409" t="s">
        <v>90</v>
      </c>
      <c r="D409">
        <v>2015</v>
      </c>
      <c r="E409" t="s">
        <v>36</v>
      </c>
      <c r="F409">
        <v>4800000</v>
      </c>
    </row>
    <row r="410" spans="1:6" x14ac:dyDescent="0.3">
      <c r="A410" t="s">
        <v>17</v>
      </c>
      <c r="B410" t="s">
        <v>117</v>
      </c>
      <c r="C410" t="s">
        <v>90</v>
      </c>
      <c r="D410">
        <v>2015</v>
      </c>
      <c r="E410" t="s">
        <v>36</v>
      </c>
      <c r="F410">
        <v>2400000</v>
      </c>
    </row>
    <row r="411" spans="1:6" x14ac:dyDescent="0.3">
      <c r="A411" t="s">
        <v>12</v>
      </c>
      <c r="B411" t="s">
        <v>117</v>
      </c>
      <c r="C411" t="s">
        <v>90</v>
      </c>
      <c r="D411">
        <v>2020</v>
      </c>
      <c r="E411" t="s">
        <v>36</v>
      </c>
      <c r="F411">
        <v>4800000</v>
      </c>
    </row>
    <row r="412" spans="1:6" x14ac:dyDescent="0.3">
      <c r="A412" t="s">
        <v>17</v>
      </c>
      <c r="B412" t="s">
        <v>117</v>
      </c>
      <c r="C412" t="s">
        <v>90</v>
      </c>
      <c r="D412">
        <v>2020</v>
      </c>
      <c r="E412" t="s">
        <v>36</v>
      </c>
      <c r="F412">
        <v>2400000</v>
      </c>
    </row>
    <row r="413" spans="1:6" x14ac:dyDescent="0.3">
      <c r="A413" t="s">
        <v>12</v>
      </c>
      <c r="B413" t="s">
        <v>117</v>
      </c>
      <c r="C413" t="s">
        <v>90</v>
      </c>
      <c r="D413">
        <v>2030</v>
      </c>
      <c r="E413" t="s">
        <v>36</v>
      </c>
      <c r="F413">
        <v>4800000</v>
      </c>
    </row>
    <row r="414" spans="1:6" x14ac:dyDescent="0.3">
      <c r="A414" t="s">
        <v>17</v>
      </c>
      <c r="B414" t="s">
        <v>117</v>
      </c>
      <c r="C414" t="s">
        <v>90</v>
      </c>
      <c r="D414">
        <v>2030</v>
      </c>
      <c r="E414" t="s">
        <v>36</v>
      </c>
      <c r="F414">
        <v>2400000</v>
      </c>
    </row>
    <row r="415" spans="1:6" x14ac:dyDescent="0.3">
      <c r="A415" t="s">
        <v>12</v>
      </c>
      <c r="B415" t="s">
        <v>117</v>
      </c>
      <c r="C415" t="s">
        <v>90</v>
      </c>
      <c r="D415">
        <v>2040</v>
      </c>
      <c r="E415" t="s">
        <v>36</v>
      </c>
      <c r="F415">
        <v>4199999.9999999991</v>
      </c>
    </row>
    <row r="416" spans="1:6" x14ac:dyDescent="0.3">
      <c r="A416" t="s">
        <v>17</v>
      </c>
      <c r="B416" t="s">
        <v>117</v>
      </c>
      <c r="C416" t="s">
        <v>90</v>
      </c>
      <c r="D416">
        <v>2040</v>
      </c>
      <c r="E416" t="s">
        <v>36</v>
      </c>
      <c r="F416">
        <v>3000000</v>
      </c>
    </row>
    <row r="417" spans="1:6" x14ac:dyDescent="0.3">
      <c r="A417" t="s">
        <v>12</v>
      </c>
      <c r="B417" t="s">
        <v>117</v>
      </c>
      <c r="C417" t="s">
        <v>90</v>
      </c>
      <c r="D417">
        <v>2050</v>
      </c>
      <c r="E417" t="s">
        <v>36</v>
      </c>
      <c r="F417">
        <v>3599999.9999999995</v>
      </c>
    </row>
    <row r="418" spans="1:6" x14ac:dyDescent="0.3">
      <c r="A418" t="s">
        <v>17</v>
      </c>
      <c r="B418" t="s">
        <v>117</v>
      </c>
      <c r="C418" t="s">
        <v>90</v>
      </c>
      <c r="D418">
        <v>2050</v>
      </c>
      <c r="E418" t="s">
        <v>36</v>
      </c>
      <c r="F418">
        <v>3599999.9999999995</v>
      </c>
    </row>
    <row r="419" spans="1:6" hidden="1" x14ac:dyDescent="0.3">
      <c r="A419" t="s">
        <v>12</v>
      </c>
      <c r="B419" t="s">
        <v>117</v>
      </c>
      <c r="E419" t="s">
        <v>13</v>
      </c>
      <c r="F419">
        <v>1</v>
      </c>
    </row>
    <row r="420" spans="1:6" hidden="1" x14ac:dyDescent="0.3">
      <c r="A420" t="s">
        <v>17</v>
      </c>
      <c r="B420" t="s">
        <v>117</v>
      </c>
      <c r="E420" t="s">
        <v>13</v>
      </c>
      <c r="F420">
        <v>1</v>
      </c>
    </row>
    <row r="421" spans="1:6" hidden="1" x14ac:dyDescent="0.3">
      <c r="A421" t="s">
        <v>143</v>
      </c>
      <c r="B421" t="s">
        <v>67</v>
      </c>
      <c r="E421" t="s">
        <v>62</v>
      </c>
      <c r="F421">
        <v>1</v>
      </c>
    </row>
    <row r="422" spans="1:6" hidden="1" x14ac:dyDescent="0.3">
      <c r="A422" t="s">
        <v>26</v>
      </c>
      <c r="B422" t="s">
        <v>99</v>
      </c>
      <c r="C422" t="s">
        <v>24</v>
      </c>
      <c r="D422">
        <v>2016</v>
      </c>
      <c r="E422" t="s">
        <v>115</v>
      </c>
      <c r="F422" s="10">
        <v>14000</v>
      </c>
    </row>
    <row r="423" spans="1:6" hidden="1" x14ac:dyDescent="0.3">
      <c r="A423" t="s">
        <v>26</v>
      </c>
      <c r="B423" t="s">
        <v>99</v>
      </c>
      <c r="C423" t="s">
        <v>25</v>
      </c>
      <c r="D423">
        <v>2016</v>
      </c>
      <c r="E423" t="s">
        <v>115</v>
      </c>
      <c r="F423" s="10">
        <v>1400000</v>
      </c>
    </row>
    <row r="424" spans="1:6" hidden="1" x14ac:dyDescent="0.3">
      <c r="A424" t="s">
        <v>26</v>
      </c>
      <c r="B424" t="s">
        <v>99</v>
      </c>
      <c r="C424" t="s">
        <v>87</v>
      </c>
      <c r="D424">
        <v>2016</v>
      </c>
      <c r="E424" t="s">
        <v>115</v>
      </c>
      <c r="F424" s="10">
        <v>0</v>
      </c>
    </row>
    <row r="425" spans="1:6" hidden="1" x14ac:dyDescent="0.3">
      <c r="A425" t="s">
        <v>26</v>
      </c>
      <c r="B425" t="s">
        <v>99</v>
      </c>
      <c r="C425" t="s">
        <v>88</v>
      </c>
      <c r="D425">
        <v>2016</v>
      </c>
      <c r="E425" t="s">
        <v>115</v>
      </c>
      <c r="F425">
        <v>1000</v>
      </c>
    </row>
    <row r="426" spans="1:6" hidden="1" x14ac:dyDescent="0.3">
      <c r="A426" t="s">
        <v>26</v>
      </c>
      <c r="B426" t="s">
        <v>99</v>
      </c>
      <c r="C426" t="s">
        <v>89</v>
      </c>
      <c r="D426">
        <v>2016</v>
      </c>
      <c r="E426" t="s">
        <v>115</v>
      </c>
      <c r="F426">
        <v>1000</v>
      </c>
    </row>
    <row r="427" spans="1:6" hidden="1" x14ac:dyDescent="0.3">
      <c r="A427" t="s">
        <v>26</v>
      </c>
      <c r="B427" t="s">
        <v>99</v>
      </c>
      <c r="C427" t="s">
        <v>90</v>
      </c>
      <c r="D427">
        <v>2016</v>
      </c>
      <c r="E427" t="s">
        <v>115</v>
      </c>
      <c r="F427">
        <v>5000</v>
      </c>
    </row>
    <row r="428" spans="1:6" hidden="1" x14ac:dyDescent="0.3">
      <c r="A428" t="s">
        <v>11</v>
      </c>
      <c r="D428">
        <v>2015</v>
      </c>
      <c r="E428" t="s">
        <v>62</v>
      </c>
      <c r="F428">
        <v>1</v>
      </c>
    </row>
    <row r="429" spans="1:6" hidden="1" x14ac:dyDescent="0.3">
      <c r="A429" t="s">
        <v>11</v>
      </c>
      <c r="E429" t="s">
        <v>62</v>
      </c>
      <c r="F429">
        <v>0</v>
      </c>
    </row>
    <row r="430" spans="1:6" hidden="1" x14ac:dyDescent="0.3">
      <c r="A430" s="26" t="s">
        <v>11</v>
      </c>
      <c r="B430" s="25" t="s">
        <v>99</v>
      </c>
      <c r="C430" s="25"/>
      <c r="D430" s="25"/>
      <c r="E430" s="25" t="s">
        <v>13</v>
      </c>
      <c r="F430" s="29">
        <v>1</v>
      </c>
    </row>
    <row r="431" spans="1:6" hidden="1" x14ac:dyDescent="0.3">
      <c r="A431" t="s">
        <v>156</v>
      </c>
      <c r="B431" t="s">
        <v>145</v>
      </c>
      <c r="E431" t="s">
        <v>23</v>
      </c>
      <c r="F431">
        <v>50</v>
      </c>
    </row>
    <row r="432" spans="1:6" hidden="1" x14ac:dyDescent="0.3">
      <c r="A432" t="s">
        <v>150</v>
      </c>
      <c r="B432" t="s">
        <v>145</v>
      </c>
      <c r="E432" t="s">
        <v>62</v>
      </c>
      <c r="F432">
        <v>1</v>
      </c>
    </row>
    <row r="433" spans="1:6" hidden="1" x14ac:dyDescent="0.3">
      <c r="A433" t="s">
        <v>151</v>
      </c>
      <c r="B433" t="s">
        <v>145</v>
      </c>
      <c r="E433" t="s">
        <v>62</v>
      </c>
      <c r="F433">
        <v>1</v>
      </c>
    </row>
    <row r="434" spans="1:6" hidden="1" x14ac:dyDescent="0.3">
      <c r="A434" t="s">
        <v>152</v>
      </c>
      <c r="B434" t="s">
        <v>145</v>
      </c>
      <c r="E434" t="s">
        <v>62</v>
      </c>
      <c r="F434">
        <v>1</v>
      </c>
    </row>
    <row r="435" spans="1:6" hidden="1" x14ac:dyDescent="0.3">
      <c r="A435" t="s">
        <v>153</v>
      </c>
      <c r="B435" t="s">
        <v>145</v>
      </c>
      <c r="E435" t="s">
        <v>62</v>
      </c>
      <c r="F435">
        <v>1</v>
      </c>
    </row>
    <row r="436" spans="1:6" hidden="1" x14ac:dyDescent="0.3">
      <c r="A436" t="s">
        <v>168</v>
      </c>
      <c r="B436" t="s">
        <v>145</v>
      </c>
      <c r="E436" t="s">
        <v>62</v>
      </c>
      <c r="F436">
        <v>1</v>
      </c>
    </row>
    <row r="437" spans="1:6" hidden="1" x14ac:dyDescent="0.3">
      <c r="A437" t="s">
        <v>169</v>
      </c>
      <c r="B437" t="s">
        <v>145</v>
      </c>
      <c r="E437" t="s">
        <v>62</v>
      </c>
      <c r="F437">
        <v>1</v>
      </c>
    </row>
    <row r="438" spans="1:6" hidden="1" x14ac:dyDescent="0.3">
      <c r="A438" t="s">
        <v>154</v>
      </c>
      <c r="B438" t="s">
        <v>145</v>
      </c>
      <c r="E438" t="s">
        <v>13</v>
      </c>
      <c r="F438">
        <v>1</v>
      </c>
    </row>
    <row r="439" spans="1:6" hidden="1" x14ac:dyDescent="0.3">
      <c r="A439" t="s">
        <v>155</v>
      </c>
      <c r="B439" t="s">
        <v>145</v>
      </c>
      <c r="E439" t="s">
        <v>13</v>
      </c>
      <c r="F439">
        <v>1</v>
      </c>
    </row>
    <row r="440" spans="1:6" hidden="1" x14ac:dyDescent="0.3">
      <c r="A440" t="s">
        <v>154</v>
      </c>
      <c r="B440" t="s">
        <v>145</v>
      </c>
      <c r="C440" t="s">
        <v>24</v>
      </c>
      <c r="E440" t="s">
        <v>36</v>
      </c>
      <c r="F440">
        <v>3300000</v>
      </c>
    </row>
    <row r="441" spans="1:6" hidden="1" x14ac:dyDescent="0.3">
      <c r="A441" t="s">
        <v>155</v>
      </c>
      <c r="B441" t="s">
        <v>145</v>
      </c>
      <c r="C441" t="s">
        <v>24</v>
      </c>
      <c r="E441" t="s">
        <v>36</v>
      </c>
      <c r="F441">
        <v>1700000.0000000002</v>
      </c>
    </row>
    <row r="442" spans="1:6" hidden="1" x14ac:dyDescent="0.3">
      <c r="A442" t="s">
        <v>154</v>
      </c>
      <c r="B442" t="s">
        <v>145</v>
      </c>
      <c r="C442" t="s">
        <v>25</v>
      </c>
      <c r="E442" t="s">
        <v>36</v>
      </c>
      <c r="F442">
        <v>5610000</v>
      </c>
    </row>
    <row r="443" spans="1:6" hidden="1" x14ac:dyDescent="0.3">
      <c r="A443" t="s">
        <v>155</v>
      </c>
      <c r="B443" t="s">
        <v>145</v>
      </c>
      <c r="C443" t="s">
        <v>25</v>
      </c>
      <c r="E443" t="s">
        <v>36</v>
      </c>
      <c r="F443">
        <v>2890000</v>
      </c>
    </row>
    <row r="444" spans="1:6" hidden="1" x14ac:dyDescent="0.3">
      <c r="A444" t="s">
        <v>154</v>
      </c>
      <c r="B444" t="s">
        <v>145</v>
      </c>
      <c r="C444" t="s">
        <v>87</v>
      </c>
      <c r="E444" t="s">
        <v>36</v>
      </c>
      <c r="F444">
        <v>3300000</v>
      </c>
    </row>
    <row r="445" spans="1:6" hidden="1" x14ac:dyDescent="0.3">
      <c r="A445" t="s">
        <v>155</v>
      </c>
      <c r="B445" t="s">
        <v>145</v>
      </c>
      <c r="C445" t="s">
        <v>87</v>
      </c>
      <c r="E445" t="s">
        <v>36</v>
      </c>
      <c r="F445">
        <v>1700000.0000000002</v>
      </c>
    </row>
    <row r="446" spans="1:6" hidden="1" x14ac:dyDescent="0.3">
      <c r="A446" t="s">
        <v>154</v>
      </c>
      <c r="B446" t="s">
        <v>145</v>
      </c>
      <c r="C446" t="s">
        <v>89</v>
      </c>
      <c r="E446" t="s">
        <v>36</v>
      </c>
      <c r="F446">
        <v>2970000</v>
      </c>
    </row>
    <row r="447" spans="1:6" hidden="1" x14ac:dyDescent="0.3">
      <c r="A447" t="s">
        <v>155</v>
      </c>
      <c r="B447" t="s">
        <v>145</v>
      </c>
      <c r="C447" t="s">
        <v>89</v>
      </c>
      <c r="E447" t="s">
        <v>36</v>
      </c>
      <c r="F447">
        <v>1530000</v>
      </c>
    </row>
    <row r="448" spans="1:6" hidden="1" x14ac:dyDescent="0.3">
      <c r="A448" t="s">
        <v>154</v>
      </c>
      <c r="B448" t="s">
        <v>145</v>
      </c>
      <c r="C448" t="s">
        <v>90</v>
      </c>
      <c r="E448" t="s">
        <v>36</v>
      </c>
      <c r="F448">
        <v>990000</v>
      </c>
    </row>
    <row r="449" spans="1:8" hidden="1" x14ac:dyDescent="0.3">
      <c r="A449" t="s">
        <v>155</v>
      </c>
      <c r="B449" t="s">
        <v>145</v>
      </c>
      <c r="C449" t="s">
        <v>90</v>
      </c>
      <c r="E449" t="s">
        <v>36</v>
      </c>
      <c r="F449">
        <v>510000.00000000006</v>
      </c>
    </row>
    <row r="450" spans="1:8" hidden="1" x14ac:dyDescent="0.3">
      <c r="A450" t="s">
        <v>154</v>
      </c>
      <c r="B450" t="s">
        <v>145</v>
      </c>
      <c r="C450" t="s">
        <v>88</v>
      </c>
      <c r="E450" t="s">
        <v>36</v>
      </c>
      <c r="F450">
        <v>660000</v>
      </c>
    </row>
    <row r="451" spans="1:8" hidden="1" x14ac:dyDescent="0.3">
      <c r="A451" t="s">
        <v>155</v>
      </c>
      <c r="B451" t="s">
        <v>145</v>
      </c>
      <c r="C451" t="s">
        <v>88</v>
      </c>
      <c r="E451" t="s">
        <v>36</v>
      </c>
      <c r="F451">
        <v>340000</v>
      </c>
    </row>
    <row r="452" spans="1:8" hidden="1" x14ac:dyDescent="0.3">
      <c r="A452" t="s">
        <v>182</v>
      </c>
      <c r="B452" t="s">
        <v>181</v>
      </c>
      <c r="E452" t="s">
        <v>13</v>
      </c>
      <c r="F452">
        <v>1</v>
      </c>
    </row>
    <row r="453" spans="1:8" hidden="1" x14ac:dyDescent="0.3">
      <c r="A453" t="s">
        <v>53</v>
      </c>
      <c r="B453" t="s">
        <v>181</v>
      </c>
      <c r="E453" t="s">
        <v>13</v>
      </c>
      <c r="F453">
        <v>1</v>
      </c>
    </row>
    <row r="454" spans="1:8" hidden="1" x14ac:dyDescent="0.3">
      <c r="A454" t="s">
        <v>182</v>
      </c>
      <c r="B454" t="s">
        <v>181</v>
      </c>
      <c r="C454" t="s">
        <v>24</v>
      </c>
      <c r="D454">
        <v>2030</v>
      </c>
      <c r="E454" t="s">
        <v>36</v>
      </c>
      <c r="F454">
        <v>0</v>
      </c>
    </row>
    <row r="455" spans="1:8" hidden="1" x14ac:dyDescent="0.3">
      <c r="A455" t="s">
        <v>182</v>
      </c>
      <c r="B455" t="s">
        <v>181</v>
      </c>
      <c r="C455" t="s">
        <v>24</v>
      </c>
      <c r="D455">
        <v>2035</v>
      </c>
      <c r="E455" t="s">
        <v>36</v>
      </c>
      <c r="F455">
        <f>0.05*6200000</f>
        <v>310000</v>
      </c>
    </row>
    <row r="456" spans="1:8" hidden="1" x14ac:dyDescent="0.3">
      <c r="A456" t="s">
        <v>182</v>
      </c>
      <c r="B456" t="s">
        <v>181</v>
      </c>
      <c r="C456" t="s">
        <v>24</v>
      </c>
      <c r="D456">
        <v>2050</v>
      </c>
      <c r="E456" t="s">
        <v>36</v>
      </c>
      <c r="F456">
        <f>0.2*6200000</f>
        <v>1240000</v>
      </c>
    </row>
    <row r="457" spans="1:8" hidden="1" x14ac:dyDescent="0.3">
      <c r="A457" t="s">
        <v>53</v>
      </c>
      <c r="B457" t="s">
        <v>181</v>
      </c>
      <c r="C457" t="s">
        <v>24</v>
      </c>
      <c r="D457">
        <v>2030</v>
      </c>
      <c r="E457" t="s">
        <v>36</v>
      </c>
      <c r="F457">
        <v>0</v>
      </c>
    </row>
    <row r="458" spans="1:8" hidden="1" x14ac:dyDescent="0.3">
      <c r="A458" t="s">
        <v>53</v>
      </c>
      <c r="B458" t="s">
        <v>181</v>
      </c>
      <c r="C458" t="s">
        <v>24</v>
      </c>
      <c r="D458">
        <v>2035</v>
      </c>
      <c r="E458" t="s">
        <v>36</v>
      </c>
      <c r="F458">
        <f>2000000*0.05*39/19</f>
        <v>205263.15789473685</v>
      </c>
      <c r="H458" s="43"/>
    </row>
    <row r="459" spans="1:8" hidden="1" x14ac:dyDescent="0.3">
      <c r="A459" t="s">
        <v>53</v>
      </c>
      <c r="B459" t="s">
        <v>181</v>
      </c>
      <c r="C459" t="s">
        <v>24</v>
      </c>
      <c r="D459">
        <v>2050</v>
      </c>
      <c r="E459" t="s">
        <v>36</v>
      </c>
      <c r="F459">
        <f>2000000*0.2*39/19</f>
        <v>821052.63157894742</v>
      </c>
    </row>
    <row r="460" spans="1:8" hidden="1" x14ac:dyDescent="0.3">
      <c r="A460" t="s">
        <v>182</v>
      </c>
      <c r="B460" t="s">
        <v>181</v>
      </c>
      <c r="C460" t="s">
        <v>25</v>
      </c>
      <c r="D460">
        <v>2030</v>
      </c>
      <c r="E460" t="s">
        <v>36</v>
      </c>
      <c r="F460">
        <v>0</v>
      </c>
    </row>
    <row r="461" spans="1:8" hidden="1" x14ac:dyDescent="0.3">
      <c r="A461" t="s">
        <v>182</v>
      </c>
      <c r="B461" t="s">
        <v>181</v>
      </c>
      <c r="C461" t="s">
        <v>25</v>
      </c>
      <c r="D461">
        <v>2035</v>
      </c>
      <c r="E461" t="s">
        <v>36</v>
      </c>
      <c r="F461">
        <f>0.05*8000000</f>
        <v>400000</v>
      </c>
    </row>
    <row r="462" spans="1:8" hidden="1" x14ac:dyDescent="0.3">
      <c r="A462" t="s">
        <v>182</v>
      </c>
      <c r="B462" t="s">
        <v>181</v>
      </c>
      <c r="C462" t="s">
        <v>25</v>
      </c>
      <c r="D462">
        <v>2050</v>
      </c>
      <c r="E462" t="s">
        <v>36</v>
      </c>
      <c r="F462">
        <f>0.2*8000000</f>
        <v>1600000</v>
      </c>
    </row>
    <row r="463" spans="1:8" hidden="1" x14ac:dyDescent="0.3">
      <c r="A463" t="s">
        <v>53</v>
      </c>
      <c r="B463" t="s">
        <v>181</v>
      </c>
      <c r="C463" t="s">
        <v>25</v>
      </c>
      <c r="D463">
        <v>2030</v>
      </c>
      <c r="E463" t="s">
        <v>36</v>
      </c>
      <c r="F463">
        <v>0</v>
      </c>
    </row>
    <row r="464" spans="1:8" hidden="1" x14ac:dyDescent="0.3">
      <c r="A464" t="s">
        <v>53</v>
      </c>
      <c r="B464" t="s">
        <v>181</v>
      </c>
      <c r="C464" t="s">
        <v>25</v>
      </c>
      <c r="D464">
        <v>2035</v>
      </c>
      <c r="E464" t="s">
        <v>36</v>
      </c>
      <c r="F464">
        <f>2000000*0.05*39/19</f>
        <v>205263.15789473685</v>
      </c>
      <c r="H464" s="43"/>
    </row>
    <row r="465" spans="1:8" hidden="1" x14ac:dyDescent="0.3">
      <c r="A465" t="s">
        <v>53</v>
      </c>
      <c r="B465" t="s">
        <v>181</v>
      </c>
      <c r="C465" t="s">
        <v>25</v>
      </c>
      <c r="D465">
        <v>2050</v>
      </c>
      <c r="E465" t="s">
        <v>36</v>
      </c>
      <c r="F465">
        <f>2000000*0.2*39/19</f>
        <v>821052.63157894742</v>
      </c>
    </row>
    <row r="466" spans="1:8" hidden="1" x14ac:dyDescent="0.3">
      <c r="A466" t="s">
        <v>182</v>
      </c>
      <c r="B466" t="s">
        <v>181</v>
      </c>
      <c r="C466" t="s">
        <v>87</v>
      </c>
      <c r="D466">
        <v>2030</v>
      </c>
      <c r="E466" t="s">
        <v>36</v>
      </c>
      <c r="F466">
        <v>0</v>
      </c>
    </row>
    <row r="467" spans="1:8" hidden="1" x14ac:dyDescent="0.3">
      <c r="A467" t="s">
        <v>182</v>
      </c>
      <c r="B467" t="s">
        <v>181</v>
      </c>
      <c r="C467" t="s">
        <v>87</v>
      </c>
      <c r="D467">
        <v>2035</v>
      </c>
      <c r="E467" t="s">
        <v>36</v>
      </c>
      <c r="F467">
        <f>0.05*3700000</f>
        <v>185000</v>
      </c>
    </row>
    <row r="468" spans="1:8" hidden="1" x14ac:dyDescent="0.3">
      <c r="A468" t="s">
        <v>182</v>
      </c>
      <c r="B468" t="s">
        <v>181</v>
      </c>
      <c r="C468" t="s">
        <v>87</v>
      </c>
      <c r="D468">
        <v>2050</v>
      </c>
      <c r="E468" t="s">
        <v>36</v>
      </c>
      <c r="F468">
        <f>0.2*3700000</f>
        <v>740000</v>
      </c>
    </row>
    <row r="469" spans="1:8" hidden="1" x14ac:dyDescent="0.3">
      <c r="A469" t="s">
        <v>53</v>
      </c>
      <c r="B469" t="s">
        <v>181</v>
      </c>
      <c r="C469" t="s">
        <v>87</v>
      </c>
      <c r="D469">
        <v>2030</v>
      </c>
      <c r="E469" t="s">
        <v>36</v>
      </c>
      <c r="F469">
        <v>0</v>
      </c>
    </row>
    <row r="470" spans="1:8" hidden="1" x14ac:dyDescent="0.3">
      <c r="A470" t="s">
        <v>53</v>
      </c>
      <c r="B470" t="s">
        <v>181</v>
      </c>
      <c r="C470" t="s">
        <v>87</v>
      </c>
      <c r="D470">
        <v>2035</v>
      </c>
      <c r="E470" t="s">
        <v>36</v>
      </c>
      <c r="F470">
        <f>2000000*0.05*39/19</f>
        <v>205263.15789473685</v>
      </c>
      <c r="H470" s="43"/>
    </row>
    <row r="471" spans="1:8" hidden="1" x14ac:dyDescent="0.3">
      <c r="A471" t="s">
        <v>53</v>
      </c>
      <c r="B471" t="s">
        <v>181</v>
      </c>
      <c r="C471" t="s">
        <v>87</v>
      </c>
      <c r="D471">
        <v>2050</v>
      </c>
      <c r="E471" t="s">
        <v>36</v>
      </c>
      <c r="F471">
        <f>2000000*0.2*39/19</f>
        <v>821052.63157894742</v>
      </c>
    </row>
    <row r="472" spans="1:8" hidden="1" x14ac:dyDescent="0.3">
      <c r="A472" t="s">
        <v>182</v>
      </c>
      <c r="B472" t="s">
        <v>181</v>
      </c>
      <c r="C472" t="s">
        <v>89</v>
      </c>
      <c r="D472">
        <v>2030</v>
      </c>
      <c r="E472" t="s">
        <v>36</v>
      </c>
      <c r="F472">
        <v>0</v>
      </c>
    </row>
    <row r="473" spans="1:8" hidden="1" x14ac:dyDescent="0.3">
      <c r="A473" t="s">
        <v>182</v>
      </c>
      <c r="B473" t="s">
        <v>181</v>
      </c>
      <c r="C473" t="s">
        <v>89</v>
      </c>
      <c r="D473">
        <v>2035</v>
      </c>
      <c r="E473" t="s">
        <v>36</v>
      </c>
      <c r="F473">
        <f>0.05*5200000</f>
        <v>260000</v>
      </c>
    </row>
    <row r="474" spans="1:8" hidden="1" x14ac:dyDescent="0.3">
      <c r="A474" t="s">
        <v>182</v>
      </c>
      <c r="B474" t="s">
        <v>181</v>
      </c>
      <c r="C474" t="s">
        <v>89</v>
      </c>
      <c r="D474">
        <v>2050</v>
      </c>
      <c r="E474" t="s">
        <v>36</v>
      </c>
      <c r="F474">
        <f>0.2*5200000</f>
        <v>1040000</v>
      </c>
    </row>
    <row r="475" spans="1:8" hidden="1" x14ac:dyDescent="0.3">
      <c r="A475" t="s">
        <v>53</v>
      </c>
      <c r="B475" t="s">
        <v>181</v>
      </c>
      <c r="C475" t="s">
        <v>89</v>
      </c>
      <c r="D475">
        <v>2030</v>
      </c>
      <c r="E475" t="s">
        <v>36</v>
      </c>
      <c r="F475">
        <v>0</v>
      </c>
    </row>
    <row r="476" spans="1:8" hidden="1" x14ac:dyDescent="0.3">
      <c r="A476" t="s">
        <v>53</v>
      </c>
      <c r="B476" t="s">
        <v>181</v>
      </c>
      <c r="C476" t="s">
        <v>89</v>
      </c>
      <c r="D476">
        <v>2035</v>
      </c>
      <c r="E476" t="s">
        <v>36</v>
      </c>
      <c r="F476">
        <f>6300000*0.05*39/19</f>
        <v>646578.94736842101</v>
      </c>
      <c r="H476" s="43"/>
    </row>
    <row r="477" spans="1:8" hidden="1" x14ac:dyDescent="0.3">
      <c r="A477" t="s">
        <v>53</v>
      </c>
      <c r="B477" t="s">
        <v>181</v>
      </c>
      <c r="C477" t="s">
        <v>89</v>
      </c>
      <c r="D477">
        <v>2050</v>
      </c>
      <c r="E477" t="s">
        <v>36</v>
      </c>
      <c r="F477">
        <f>6300000*0.2*39/19</f>
        <v>2586315.789473684</v>
      </c>
    </row>
    <row r="478" spans="1:8" hidden="1" x14ac:dyDescent="0.3">
      <c r="A478" t="s">
        <v>182</v>
      </c>
      <c r="B478" t="s">
        <v>181</v>
      </c>
      <c r="C478" t="s">
        <v>88</v>
      </c>
      <c r="D478">
        <v>2030</v>
      </c>
      <c r="E478" t="s">
        <v>36</v>
      </c>
      <c r="F478">
        <v>0</v>
      </c>
    </row>
    <row r="479" spans="1:8" hidden="1" x14ac:dyDescent="0.3">
      <c r="A479" t="s">
        <v>182</v>
      </c>
      <c r="B479" t="s">
        <v>181</v>
      </c>
      <c r="C479" t="s">
        <v>88</v>
      </c>
      <c r="D479">
        <v>2035</v>
      </c>
      <c r="E479" t="s">
        <v>36</v>
      </c>
      <c r="F479">
        <f>0.05*12000000</f>
        <v>600000</v>
      </c>
    </row>
    <row r="480" spans="1:8" hidden="1" x14ac:dyDescent="0.3">
      <c r="A480" t="s">
        <v>182</v>
      </c>
      <c r="B480" t="s">
        <v>181</v>
      </c>
      <c r="C480" t="s">
        <v>88</v>
      </c>
      <c r="D480">
        <v>2050</v>
      </c>
      <c r="E480" t="s">
        <v>36</v>
      </c>
      <c r="F480">
        <f>0.2*12000000</f>
        <v>2400000</v>
      </c>
    </row>
    <row r="481" spans="1:8" hidden="1" x14ac:dyDescent="0.3">
      <c r="A481" t="s">
        <v>53</v>
      </c>
      <c r="B481" t="s">
        <v>181</v>
      </c>
      <c r="C481" t="s">
        <v>88</v>
      </c>
      <c r="D481">
        <v>2030</v>
      </c>
      <c r="E481" t="s">
        <v>36</v>
      </c>
      <c r="F481">
        <v>0</v>
      </c>
    </row>
    <row r="482" spans="1:8" hidden="1" x14ac:dyDescent="0.3">
      <c r="A482" t="s">
        <v>53</v>
      </c>
      <c r="B482" t="s">
        <v>181</v>
      </c>
      <c r="C482" t="s">
        <v>88</v>
      </c>
      <c r="D482">
        <v>2035</v>
      </c>
      <c r="E482" t="s">
        <v>36</v>
      </c>
      <c r="F482">
        <f>1000000*0.05*39/19</f>
        <v>102631.57894736843</v>
      </c>
      <c r="H482" s="43"/>
    </row>
    <row r="483" spans="1:8" hidden="1" x14ac:dyDescent="0.3">
      <c r="A483" t="s">
        <v>53</v>
      </c>
      <c r="B483" t="s">
        <v>181</v>
      </c>
      <c r="C483" t="s">
        <v>88</v>
      </c>
      <c r="D483">
        <v>2050</v>
      </c>
      <c r="E483" t="s">
        <v>36</v>
      </c>
      <c r="F483">
        <f>1000000*0.2*39/19</f>
        <v>410526.31578947371</v>
      </c>
    </row>
    <row r="484" spans="1:8" hidden="1" x14ac:dyDescent="0.3">
      <c r="A484" t="s">
        <v>182</v>
      </c>
      <c r="B484" t="s">
        <v>181</v>
      </c>
      <c r="C484" t="s">
        <v>90</v>
      </c>
      <c r="D484">
        <v>2030</v>
      </c>
      <c r="E484" t="s">
        <v>36</v>
      </c>
      <c r="F484">
        <v>0</v>
      </c>
    </row>
    <row r="485" spans="1:8" hidden="1" x14ac:dyDescent="0.3">
      <c r="A485" t="s">
        <v>182</v>
      </c>
      <c r="B485" t="s">
        <v>181</v>
      </c>
      <c r="C485" t="s">
        <v>90</v>
      </c>
      <c r="D485">
        <v>2035</v>
      </c>
      <c r="E485" t="s">
        <v>36</v>
      </c>
      <c r="F485">
        <f>0.05*1300000</f>
        <v>65000</v>
      </c>
    </row>
    <row r="486" spans="1:8" hidden="1" x14ac:dyDescent="0.3">
      <c r="A486" t="s">
        <v>182</v>
      </c>
      <c r="B486" t="s">
        <v>181</v>
      </c>
      <c r="C486" t="s">
        <v>90</v>
      </c>
      <c r="D486">
        <v>2050</v>
      </c>
      <c r="E486" t="s">
        <v>36</v>
      </c>
      <c r="F486">
        <f>0.2*1300000</f>
        <v>260000</v>
      </c>
    </row>
    <row r="487" spans="1:8" hidden="1" x14ac:dyDescent="0.3">
      <c r="A487" t="s">
        <v>53</v>
      </c>
      <c r="B487" t="s">
        <v>181</v>
      </c>
      <c r="C487" t="s">
        <v>90</v>
      </c>
      <c r="D487">
        <v>2030</v>
      </c>
      <c r="E487" t="s">
        <v>36</v>
      </c>
      <c r="F487">
        <v>0</v>
      </c>
    </row>
    <row r="488" spans="1:8" hidden="1" x14ac:dyDescent="0.3">
      <c r="A488" t="s">
        <v>53</v>
      </c>
      <c r="B488" t="s">
        <v>181</v>
      </c>
      <c r="C488" t="s">
        <v>90</v>
      </c>
      <c r="D488">
        <v>2035</v>
      </c>
      <c r="E488" t="s">
        <v>36</v>
      </c>
      <c r="F488">
        <f>6500000*0.05*39/19</f>
        <v>667105.26315789472</v>
      </c>
      <c r="H488" s="43"/>
    </row>
    <row r="489" spans="1:8" hidden="1" x14ac:dyDescent="0.3">
      <c r="A489" t="s">
        <v>53</v>
      </c>
      <c r="B489" t="s">
        <v>181</v>
      </c>
      <c r="C489" t="s">
        <v>90</v>
      </c>
      <c r="D489">
        <v>2050</v>
      </c>
      <c r="E489" t="s">
        <v>36</v>
      </c>
      <c r="F489">
        <f>6500000*0.2*39/19</f>
        <v>2668421.0526315789</v>
      </c>
    </row>
    <row r="490" spans="1:8" hidden="1" x14ac:dyDescent="0.3">
      <c r="A490" t="s">
        <v>64</v>
      </c>
      <c r="B490" t="s">
        <v>67</v>
      </c>
      <c r="C490" t="s">
        <v>25</v>
      </c>
      <c r="D490">
        <v>2015</v>
      </c>
      <c r="E490" t="s">
        <v>36</v>
      </c>
      <c r="F490" s="10">
        <f>33000000*0.3</f>
        <v>9900000</v>
      </c>
    </row>
    <row r="491" spans="1:8" hidden="1" x14ac:dyDescent="0.3">
      <c r="A491" t="s">
        <v>65</v>
      </c>
      <c r="B491" t="s">
        <v>67</v>
      </c>
      <c r="C491" t="s">
        <v>25</v>
      </c>
      <c r="D491">
        <v>2015</v>
      </c>
      <c r="E491" t="s">
        <v>36</v>
      </c>
      <c r="F491" s="10">
        <f>33000000*0.57</f>
        <v>18810000</v>
      </c>
    </row>
    <row r="492" spans="1:8" hidden="1" x14ac:dyDescent="0.3">
      <c r="A492" t="s">
        <v>79</v>
      </c>
      <c r="B492" t="s">
        <v>67</v>
      </c>
      <c r="C492" t="s">
        <v>25</v>
      </c>
      <c r="D492">
        <v>2015</v>
      </c>
      <c r="E492" t="s">
        <v>36</v>
      </c>
      <c r="F492" s="10">
        <f>33000000*0.13</f>
        <v>4290000</v>
      </c>
    </row>
    <row r="493" spans="1:8" hidden="1" x14ac:dyDescent="0.3">
      <c r="A493" t="s">
        <v>66</v>
      </c>
      <c r="B493" t="s">
        <v>67</v>
      </c>
      <c r="C493" t="s">
        <v>25</v>
      </c>
      <c r="D493">
        <v>2015</v>
      </c>
      <c r="E493" t="s">
        <v>36</v>
      </c>
      <c r="F493">
        <v>0</v>
      </c>
    </row>
    <row r="494" spans="1:8" hidden="1" x14ac:dyDescent="0.3">
      <c r="A494" t="s">
        <v>64</v>
      </c>
      <c r="B494" t="s">
        <v>67</v>
      </c>
      <c r="C494" t="s">
        <v>25</v>
      </c>
      <c r="D494">
        <v>2025</v>
      </c>
      <c r="E494" t="s">
        <v>36</v>
      </c>
      <c r="F494" s="10">
        <f>33000000*0.3</f>
        <v>9900000</v>
      </c>
    </row>
    <row r="495" spans="1:8" hidden="1" x14ac:dyDescent="0.3">
      <c r="A495" t="s">
        <v>65</v>
      </c>
      <c r="B495" t="s">
        <v>67</v>
      </c>
      <c r="C495" t="s">
        <v>25</v>
      </c>
      <c r="D495">
        <v>2025</v>
      </c>
      <c r="E495" t="s">
        <v>36</v>
      </c>
      <c r="F495" s="10">
        <f>33000000*0.57</f>
        <v>18810000</v>
      </c>
    </row>
    <row r="496" spans="1:8" hidden="1" x14ac:dyDescent="0.3">
      <c r="A496" t="s">
        <v>79</v>
      </c>
      <c r="B496" t="s">
        <v>67</v>
      </c>
      <c r="C496" t="s">
        <v>25</v>
      </c>
      <c r="D496">
        <v>2025</v>
      </c>
      <c r="E496" t="s">
        <v>36</v>
      </c>
      <c r="F496" s="10">
        <f>33000000*0.13</f>
        <v>4290000</v>
      </c>
    </row>
    <row r="497" spans="1:8" hidden="1" x14ac:dyDescent="0.3">
      <c r="A497" t="s">
        <v>66</v>
      </c>
      <c r="B497" t="s">
        <v>67</v>
      </c>
      <c r="C497" t="s">
        <v>25</v>
      </c>
      <c r="D497">
        <v>2025</v>
      </c>
      <c r="E497" t="s">
        <v>36</v>
      </c>
      <c r="F497">
        <v>0</v>
      </c>
    </row>
    <row r="498" spans="1:8" hidden="1" x14ac:dyDescent="0.3">
      <c r="A498" t="s">
        <v>185</v>
      </c>
      <c r="B498" t="s">
        <v>67</v>
      </c>
      <c r="C498" t="s">
        <v>25</v>
      </c>
      <c r="D498">
        <v>2025</v>
      </c>
      <c r="E498" t="s">
        <v>36</v>
      </c>
      <c r="F498">
        <v>0</v>
      </c>
    </row>
    <row r="499" spans="1:8" hidden="1" x14ac:dyDescent="0.3">
      <c r="A499" t="s">
        <v>189</v>
      </c>
      <c r="B499" t="s">
        <v>67</v>
      </c>
      <c r="C499" t="s">
        <v>25</v>
      </c>
      <c r="D499">
        <v>2025</v>
      </c>
      <c r="E499" t="s">
        <v>36</v>
      </c>
      <c r="F499">
        <v>0</v>
      </c>
    </row>
    <row r="500" spans="1:8" hidden="1" x14ac:dyDescent="0.3">
      <c r="A500" t="s">
        <v>187</v>
      </c>
      <c r="B500" t="s">
        <v>67</v>
      </c>
      <c r="C500" t="s">
        <v>25</v>
      </c>
      <c r="D500">
        <v>2025</v>
      </c>
      <c r="E500" t="s">
        <v>36</v>
      </c>
      <c r="F500">
        <v>0</v>
      </c>
    </row>
    <row r="501" spans="1:8" hidden="1" x14ac:dyDescent="0.3">
      <c r="A501" t="s">
        <v>64</v>
      </c>
      <c r="B501" t="s">
        <v>67</v>
      </c>
      <c r="C501" t="s">
        <v>25</v>
      </c>
      <c r="D501">
        <v>2030</v>
      </c>
      <c r="E501" t="s">
        <v>36</v>
      </c>
      <c r="F501" s="10">
        <f>33000000*0.25</f>
        <v>8250000</v>
      </c>
    </row>
    <row r="502" spans="1:8" hidden="1" x14ac:dyDescent="0.3">
      <c r="A502" t="s">
        <v>65</v>
      </c>
      <c r="B502" t="s">
        <v>67</v>
      </c>
      <c r="C502" t="s">
        <v>25</v>
      </c>
      <c r="D502">
        <v>2030</v>
      </c>
      <c r="E502" t="s">
        <v>36</v>
      </c>
      <c r="F502" s="10">
        <f>33000000*0.5</f>
        <v>16500000</v>
      </c>
    </row>
    <row r="503" spans="1:8" hidden="1" x14ac:dyDescent="0.3">
      <c r="A503" t="s">
        <v>79</v>
      </c>
      <c r="B503" t="s">
        <v>67</v>
      </c>
      <c r="C503" t="s">
        <v>25</v>
      </c>
      <c r="D503">
        <v>2030</v>
      </c>
      <c r="E503" t="s">
        <v>36</v>
      </c>
      <c r="F503" s="10">
        <f>33000000*0.16</f>
        <v>5280000</v>
      </c>
    </row>
    <row r="504" spans="1:8" hidden="1" x14ac:dyDescent="0.3">
      <c r="A504" t="s">
        <v>66</v>
      </c>
      <c r="B504" t="s">
        <v>67</v>
      </c>
      <c r="C504" t="s">
        <v>25</v>
      </c>
      <c r="D504">
        <v>2030</v>
      </c>
      <c r="E504" t="s">
        <v>36</v>
      </c>
      <c r="F504">
        <f>33000000*0.09</f>
        <v>2970000</v>
      </c>
    </row>
    <row r="505" spans="1:8" hidden="1" x14ac:dyDescent="0.3">
      <c r="A505" t="s">
        <v>185</v>
      </c>
      <c r="B505" t="s">
        <v>67</v>
      </c>
      <c r="C505" t="s">
        <v>25</v>
      </c>
      <c r="D505">
        <v>2030</v>
      </c>
      <c r="E505" t="s">
        <v>36</v>
      </c>
      <c r="F505">
        <v>0</v>
      </c>
    </row>
    <row r="506" spans="1:8" hidden="1" x14ac:dyDescent="0.3">
      <c r="A506" t="s">
        <v>189</v>
      </c>
      <c r="B506" t="s">
        <v>67</v>
      </c>
      <c r="C506" t="s">
        <v>25</v>
      </c>
      <c r="D506">
        <v>2030</v>
      </c>
      <c r="E506" t="s">
        <v>36</v>
      </c>
      <c r="F506">
        <v>0</v>
      </c>
    </row>
    <row r="507" spans="1:8" hidden="1" x14ac:dyDescent="0.3">
      <c r="A507" t="s">
        <v>187</v>
      </c>
      <c r="B507" t="s">
        <v>67</v>
      </c>
      <c r="C507" t="s">
        <v>25</v>
      </c>
      <c r="D507">
        <v>2030</v>
      </c>
      <c r="E507" t="s">
        <v>36</v>
      </c>
      <c r="F507">
        <v>0</v>
      </c>
    </row>
    <row r="508" spans="1:8" hidden="1" x14ac:dyDescent="0.3">
      <c r="A508" t="s">
        <v>64</v>
      </c>
      <c r="B508" t="s">
        <v>67</v>
      </c>
      <c r="C508" t="s">
        <v>25</v>
      </c>
      <c r="D508">
        <v>2050</v>
      </c>
      <c r="E508" t="s">
        <v>36</v>
      </c>
      <c r="F508" s="10">
        <f>33000000*0.08</f>
        <v>2640000</v>
      </c>
    </row>
    <row r="509" spans="1:8" hidden="1" x14ac:dyDescent="0.3">
      <c r="A509" t="s">
        <v>65</v>
      </c>
      <c r="B509" t="s">
        <v>67</v>
      </c>
      <c r="C509" t="s">
        <v>25</v>
      </c>
      <c r="D509">
        <v>2050</v>
      </c>
      <c r="E509" t="s">
        <v>36</v>
      </c>
      <c r="F509" s="10">
        <f>33000000*0.1</f>
        <v>3300000</v>
      </c>
    </row>
    <row r="510" spans="1:8" hidden="1" x14ac:dyDescent="0.3">
      <c r="A510" t="s">
        <v>79</v>
      </c>
      <c r="B510" t="s">
        <v>67</v>
      </c>
      <c r="C510" t="s">
        <v>25</v>
      </c>
      <c r="D510">
        <v>2050</v>
      </c>
      <c r="E510" t="s">
        <v>36</v>
      </c>
      <c r="F510" s="10">
        <f>33000000*0.17</f>
        <v>5610000</v>
      </c>
    </row>
    <row r="511" spans="1:8" hidden="1" x14ac:dyDescent="0.3">
      <c r="A511" t="s">
        <v>66</v>
      </c>
      <c r="B511" t="s">
        <v>67</v>
      </c>
      <c r="C511" t="s">
        <v>25</v>
      </c>
      <c r="D511">
        <v>2050</v>
      </c>
      <c r="E511" t="s">
        <v>36</v>
      </c>
      <c r="F511">
        <f>33000000*0.4</f>
        <v>13200000</v>
      </c>
    </row>
    <row r="512" spans="1:8" hidden="1" x14ac:dyDescent="0.3">
      <c r="A512" t="s">
        <v>185</v>
      </c>
      <c r="B512" t="s">
        <v>67</v>
      </c>
      <c r="C512" t="s">
        <v>25</v>
      </c>
      <c r="D512">
        <v>2050</v>
      </c>
      <c r="E512" t="s">
        <v>36</v>
      </c>
      <c r="F512">
        <f>33000000*0.05</f>
        <v>1650000</v>
      </c>
      <c r="H512" s="10"/>
    </row>
    <row r="513" spans="1:6" hidden="1" x14ac:dyDescent="0.3">
      <c r="A513" t="s">
        <v>189</v>
      </c>
      <c r="B513" t="s">
        <v>67</v>
      </c>
      <c r="C513" t="s">
        <v>25</v>
      </c>
      <c r="D513">
        <v>2050</v>
      </c>
      <c r="E513" t="s">
        <v>36</v>
      </c>
      <c r="F513">
        <f>33000000*0.1</f>
        <v>3300000</v>
      </c>
    </row>
    <row r="514" spans="1:6" hidden="1" x14ac:dyDescent="0.3">
      <c r="A514" t="s">
        <v>187</v>
      </c>
      <c r="B514" t="s">
        <v>67</v>
      </c>
      <c r="C514" t="s">
        <v>25</v>
      </c>
      <c r="D514">
        <v>2050</v>
      </c>
      <c r="E514" t="s">
        <v>36</v>
      </c>
      <c r="F514">
        <f>33000000*0.1</f>
        <v>3300000</v>
      </c>
    </row>
    <row r="515" spans="1:6" hidden="1" x14ac:dyDescent="0.3">
      <c r="A515" t="s">
        <v>64</v>
      </c>
      <c r="B515" t="s">
        <v>67</v>
      </c>
      <c r="C515" t="s">
        <v>87</v>
      </c>
      <c r="D515">
        <v>2015</v>
      </c>
      <c r="E515" t="s">
        <v>36</v>
      </c>
      <c r="F515" s="10">
        <f>21000000*0.3</f>
        <v>6300000</v>
      </c>
    </row>
    <row r="516" spans="1:6" hidden="1" x14ac:dyDescent="0.3">
      <c r="A516" t="s">
        <v>65</v>
      </c>
      <c r="B516" t="s">
        <v>67</v>
      </c>
      <c r="C516" t="s">
        <v>87</v>
      </c>
      <c r="D516">
        <v>2015</v>
      </c>
      <c r="E516" t="s">
        <v>36</v>
      </c>
      <c r="F516" s="10">
        <f>21000000*0.57</f>
        <v>11969999.999999998</v>
      </c>
    </row>
    <row r="517" spans="1:6" hidden="1" x14ac:dyDescent="0.3">
      <c r="A517" t="s">
        <v>79</v>
      </c>
      <c r="B517" t="s">
        <v>67</v>
      </c>
      <c r="C517" t="s">
        <v>87</v>
      </c>
      <c r="D517">
        <v>2015</v>
      </c>
      <c r="E517" t="s">
        <v>36</v>
      </c>
      <c r="F517" s="10">
        <f>21000000*0.13</f>
        <v>2730000</v>
      </c>
    </row>
    <row r="518" spans="1:6" hidden="1" x14ac:dyDescent="0.3">
      <c r="A518" t="s">
        <v>66</v>
      </c>
      <c r="B518" t="s">
        <v>67</v>
      </c>
      <c r="C518" t="s">
        <v>87</v>
      </c>
      <c r="D518">
        <v>2015</v>
      </c>
      <c r="E518" t="s">
        <v>36</v>
      </c>
      <c r="F518">
        <v>0</v>
      </c>
    </row>
    <row r="519" spans="1:6" hidden="1" x14ac:dyDescent="0.3">
      <c r="A519" t="s">
        <v>64</v>
      </c>
      <c r="B519" t="s">
        <v>67</v>
      </c>
      <c r="C519" t="s">
        <v>87</v>
      </c>
      <c r="D519">
        <v>2025</v>
      </c>
      <c r="E519" t="s">
        <v>36</v>
      </c>
      <c r="F519" s="10">
        <f>21000000*0.3</f>
        <v>6300000</v>
      </c>
    </row>
    <row r="520" spans="1:6" hidden="1" x14ac:dyDescent="0.3">
      <c r="A520" t="s">
        <v>65</v>
      </c>
      <c r="B520" t="s">
        <v>67</v>
      </c>
      <c r="C520" t="s">
        <v>87</v>
      </c>
      <c r="D520">
        <v>2025</v>
      </c>
      <c r="E520" t="s">
        <v>36</v>
      </c>
      <c r="F520" s="10">
        <f>21000000*0.57</f>
        <v>11969999.999999998</v>
      </c>
    </row>
    <row r="521" spans="1:6" hidden="1" x14ac:dyDescent="0.3">
      <c r="A521" t="s">
        <v>79</v>
      </c>
      <c r="B521" t="s">
        <v>67</v>
      </c>
      <c r="C521" t="s">
        <v>87</v>
      </c>
      <c r="D521">
        <v>2025</v>
      </c>
      <c r="E521" t="s">
        <v>36</v>
      </c>
      <c r="F521" s="10">
        <f>21000000*0.13</f>
        <v>2730000</v>
      </c>
    </row>
    <row r="522" spans="1:6" hidden="1" x14ac:dyDescent="0.3">
      <c r="A522" t="s">
        <v>66</v>
      </c>
      <c r="B522" t="s">
        <v>67</v>
      </c>
      <c r="C522" t="s">
        <v>87</v>
      </c>
      <c r="D522">
        <v>2025</v>
      </c>
      <c r="E522" t="s">
        <v>36</v>
      </c>
      <c r="F522">
        <v>0</v>
      </c>
    </row>
    <row r="523" spans="1:6" hidden="1" x14ac:dyDescent="0.3">
      <c r="A523" t="s">
        <v>185</v>
      </c>
      <c r="B523" t="s">
        <v>67</v>
      </c>
      <c r="C523" t="s">
        <v>87</v>
      </c>
      <c r="D523">
        <v>2025</v>
      </c>
      <c r="E523" t="s">
        <v>36</v>
      </c>
      <c r="F523">
        <v>0</v>
      </c>
    </row>
    <row r="524" spans="1:6" hidden="1" x14ac:dyDescent="0.3">
      <c r="A524" t="s">
        <v>189</v>
      </c>
      <c r="B524" t="s">
        <v>67</v>
      </c>
      <c r="C524" t="s">
        <v>87</v>
      </c>
      <c r="D524">
        <v>2025</v>
      </c>
      <c r="E524" t="s">
        <v>36</v>
      </c>
      <c r="F524">
        <v>0</v>
      </c>
    </row>
    <row r="525" spans="1:6" hidden="1" x14ac:dyDescent="0.3">
      <c r="A525" t="s">
        <v>187</v>
      </c>
      <c r="B525" t="s">
        <v>67</v>
      </c>
      <c r="C525" t="s">
        <v>87</v>
      </c>
      <c r="D525">
        <v>2025</v>
      </c>
      <c r="E525" t="s">
        <v>36</v>
      </c>
      <c r="F525">
        <v>0</v>
      </c>
    </row>
    <row r="526" spans="1:6" hidden="1" x14ac:dyDescent="0.3">
      <c r="A526" t="s">
        <v>64</v>
      </c>
      <c r="B526" t="s">
        <v>67</v>
      </c>
      <c r="C526" t="s">
        <v>87</v>
      </c>
      <c r="D526">
        <v>2030</v>
      </c>
      <c r="E526" t="s">
        <v>36</v>
      </c>
      <c r="F526" s="10">
        <f>21000000*0.25</f>
        <v>5250000</v>
      </c>
    </row>
    <row r="527" spans="1:6" hidden="1" x14ac:dyDescent="0.3">
      <c r="A527" t="s">
        <v>65</v>
      </c>
      <c r="B527" t="s">
        <v>67</v>
      </c>
      <c r="C527" t="s">
        <v>87</v>
      </c>
      <c r="D527">
        <v>2030</v>
      </c>
      <c r="E527" t="s">
        <v>36</v>
      </c>
      <c r="F527" s="10">
        <f>21000000*0.5</f>
        <v>10500000</v>
      </c>
    </row>
    <row r="528" spans="1:6" hidden="1" x14ac:dyDescent="0.3">
      <c r="A528" t="s">
        <v>79</v>
      </c>
      <c r="B528" t="s">
        <v>67</v>
      </c>
      <c r="C528" t="s">
        <v>87</v>
      </c>
      <c r="D528">
        <v>2030</v>
      </c>
      <c r="E528" t="s">
        <v>36</v>
      </c>
      <c r="F528" s="10">
        <f>21000000*0.16</f>
        <v>3360000</v>
      </c>
    </row>
    <row r="529" spans="1:6" hidden="1" x14ac:dyDescent="0.3">
      <c r="A529" t="s">
        <v>66</v>
      </c>
      <c r="B529" t="s">
        <v>67</v>
      </c>
      <c r="C529" t="s">
        <v>87</v>
      </c>
      <c r="D529">
        <v>2030</v>
      </c>
      <c r="E529" t="s">
        <v>36</v>
      </c>
      <c r="F529">
        <f>21000000*0.09</f>
        <v>1890000</v>
      </c>
    </row>
    <row r="530" spans="1:6" hidden="1" x14ac:dyDescent="0.3">
      <c r="A530" t="s">
        <v>185</v>
      </c>
      <c r="B530" t="s">
        <v>67</v>
      </c>
      <c r="C530" t="s">
        <v>87</v>
      </c>
      <c r="D530">
        <v>2030</v>
      </c>
      <c r="E530" t="s">
        <v>36</v>
      </c>
      <c r="F530">
        <v>0</v>
      </c>
    </row>
    <row r="531" spans="1:6" hidden="1" x14ac:dyDescent="0.3">
      <c r="A531" t="s">
        <v>189</v>
      </c>
      <c r="B531" t="s">
        <v>67</v>
      </c>
      <c r="C531" t="s">
        <v>87</v>
      </c>
      <c r="D531">
        <v>2030</v>
      </c>
      <c r="E531" t="s">
        <v>36</v>
      </c>
      <c r="F531">
        <v>0</v>
      </c>
    </row>
    <row r="532" spans="1:6" hidden="1" x14ac:dyDescent="0.3">
      <c r="A532" t="s">
        <v>187</v>
      </c>
      <c r="B532" t="s">
        <v>67</v>
      </c>
      <c r="C532" t="s">
        <v>87</v>
      </c>
      <c r="D532">
        <v>2030</v>
      </c>
      <c r="E532" t="s">
        <v>36</v>
      </c>
      <c r="F532">
        <v>0</v>
      </c>
    </row>
    <row r="533" spans="1:6" hidden="1" x14ac:dyDescent="0.3">
      <c r="A533" t="s">
        <v>64</v>
      </c>
      <c r="B533" t="s">
        <v>67</v>
      </c>
      <c r="C533" t="s">
        <v>87</v>
      </c>
      <c r="D533">
        <v>2050</v>
      </c>
      <c r="E533" t="s">
        <v>36</v>
      </c>
      <c r="F533" s="10">
        <f>21000000*0.08</f>
        <v>1680000</v>
      </c>
    </row>
    <row r="534" spans="1:6" hidden="1" x14ac:dyDescent="0.3">
      <c r="A534" t="s">
        <v>65</v>
      </c>
      <c r="B534" t="s">
        <v>67</v>
      </c>
      <c r="C534" t="s">
        <v>87</v>
      </c>
      <c r="D534">
        <v>2050</v>
      </c>
      <c r="E534" t="s">
        <v>36</v>
      </c>
      <c r="F534" s="10">
        <f>21000000*0.1</f>
        <v>2100000</v>
      </c>
    </row>
    <row r="535" spans="1:6" hidden="1" x14ac:dyDescent="0.3">
      <c r="A535" t="s">
        <v>79</v>
      </c>
      <c r="B535" t="s">
        <v>67</v>
      </c>
      <c r="C535" t="s">
        <v>87</v>
      </c>
      <c r="D535">
        <v>2050</v>
      </c>
      <c r="E535" t="s">
        <v>36</v>
      </c>
      <c r="F535" s="10">
        <f>21000000*0.17</f>
        <v>3570000.0000000005</v>
      </c>
    </row>
    <row r="536" spans="1:6" hidden="1" x14ac:dyDescent="0.3">
      <c r="A536" t="s">
        <v>66</v>
      </c>
      <c r="B536" t="s">
        <v>67</v>
      </c>
      <c r="C536" t="s">
        <v>87</v>
      </c>
      <c r="D536">
        <v>2050</v>
      </c>
      <c r="E536" t="s">
        <v>36</v>
      </c>
      <c r="F536">
        <f>21000000*0.4</f>
        <v>8400000</v>
      </c>
    </row>
    <row r="537" spans="1:6" hidden="1" x14ac:dyDescent="0.3">
      <c r="A537" t="s">
        <v>185</v>
      </c>
      <c r="B537" t="s">
        <v>67</v>
      </c>
      <c r="C537" t="s">
        <v>87</v>
      </c>
      <c r="D537">
        <v>2050</v>
      </c>
      <c r="E537" t="s">
        <v>36</v>
      </c>
      <c r="F537">
        <f>21000000*0.05</f>
        <v>1050000</v>
      </c>
    </row>
    <row r="538" spans="1:6" hidden="1" x14ac:dyDescent="0.3">
      <c r="A538" t="s">
        <v>189</v>
      </c>
      <c r="B538" t="s">
        <v>67</v>
      </c>
      <c r="C538" t="s">
        <v>87</v>
      </c>
      <c r="D538">
        <v>2050</v>
      </c>
      <c r="E538" t="s">
        <v>36</v>
      </c>
      <c r="F538">
        <f>21000000*0.1</f>
        <v>2100000</v>
      </c>
    </row>
    <row r="539" spans="1:6" hidden="1" x14ac:dyDescent="0.3">
      <c r="A539" t="s">
        <v>187</v>
      </c>
      <c r="B539" t="s">
        <v>67</v>
      </c>
      <c r="C539" t="s">
        <v>87</v>
      </c>
      <c r="D539">
        <v>2050</v>
      </c>
      <c r="E539" t="s">
        <v>36</v>
      </c>
      <c r="F539">
        <f>21000000*0.1</f>
        <v>2100000</v>
      </c>
    </row>
    <row r="540" spans="1:6" hidden="1" x14ac:dyDescent="0.3">
      <c r="A540" t="s">
        <v>64</v>
      </c>
      <c r="B540" t="s">
        <v>67</v>
      </c>
      <c r="C540" t="s">
        <v>89</v>
      </c>
      <c r="D540">
        <v>2015</v>
      </c>
      <c r="E540" t="s">
        <v>36</v>
      </c>
      <c r="F540" s="10">
        <f>15000000*0.3</f>
        <v>4500000</v>
      </c>
    </row>
    <row r="541" spans="1:6" hidden="1" x14ac:dyDescent="0.3">
      <c r="A541" t="s">
        <v>65</v>
      </c>
      <c r="B541" t="s">
        <v>67</v>
      </c>
      <c r="C541" t="s">
        <v>89</v>
      </c>
      <c r="D541">
        <v>2015</v>
      </c>
      <c r="E541" t="s">
        <v>36</v>
      </c>
      <c r="F541" s="10">
        <f>15000000*0.57</f>
        <v>8550000</v>
      </c>
    </row>
    <row r="542" spans="1:6" hidden="1" x14ac:dyDescent="0.3">
      <c r="A542" t="s">
        <v>79</v>
      </c>
      <c r="B542" t="s">
        <v>67</v>
      </c>
      <c r="C542" t="s">
        <v>89</v>
      </c>
      <c r="D542">
        <v>2015</v>
      </c>
      <c r="E542" t="s">
        <v>36</v>
      </c>
      <c r="F542" s="10">
        <f>15000000*0.13</f>
        <v>1950000</v>
      </c>
    </row>
    <row r="543" spans="1:6" hidden="1" x14ac:dyDescent="0.3">
      <c r="A543" t="s">
        <v>66</v>
      </c>
      <c r="B543" t="s">
        <v>67</v>
      </c>
      <c r="C543" t="s">
        <v>89</v>
      </c>
      <c r="D543">
        <v>2015</v>
      </c>
      <c r="E543" t="s">
        <v>36</v>
      </c>
      <c r="F543">
        <v>0</v>
      </c>
    </row>
    <row r="544" spans="1:6" hidden="1" x14ac:dyDescent="0.3">
      <c r="A544" t="s">
        <v>64</v>
      </c>
      <c r="B544" t="s">
        <v>67</v>
      </c>
      <c r="C544" t="s">
        <v>89</v>
      </c>
      <c r="D544">
        <v>2025</v>
      </c>
      <c r="E544" t="s">
        <v>36</v>
      </c>
      <c r="F544" s="10">
        <f>15000000*0.3</f>
        <v>4500000</v>
      </c>
    </row>
    <row r="545" spans="1:6" hidden="1" x14ac:dyDescent="0.3">
      <c r="A545" t="s">
        <v>65</v>
      </c>
      <c r="B545" t="s">
        <v>67</v>
      </c>
      <c r="C545" t="s">
        <v>89</v>
      </c>
      <c r="D545">
        <v>2025</v>
      </c>
      <c r="E545" t="s">
        <v>36</v>
      </c>
      <c r="F545" s="10">
        <f>15000000*0.57</f>
        <v>8550000</v>
      </c>
    </row>
    <row r="546" spans="1:6" hidden="1" x14ac:dyDescent="0.3">
      <c r="A546" t="s">
        <v>79</v>
      </c>
      <c r="B546" t="s">
        <v>67</v>
      </c>
      <c r="C546" t="s">
        <v>89</v>
      </c>
      <c r="D546">
        <v>2025</v>
      </c>
      <c r="E546" t="s">
        <v>36</v>
      </c>
      <c r="F546" s="10">
        <f>15000000*0.13</f>
        <v>1950000</v>
      </c>
    </row>
    <row r="547" spans="1:6" hidden="1" x14ac:dyDescent="0.3">
      <c r="A547" t="s">
        <v>66</v>
      </c>
      <c r="B547" t="s">
        <v>67</v>
      </c>
      <c r="C547" t="s">
        <v>89</v>
      </c>
      <c r="D547">
        <v>2025</v>
      </c>
      <c r="E547" t="s">
        <v>36</v>
      </c>
      <c r="F547">
        <v>0</v>
      </c>
    </row>
    <row r="548" spans="1:6" hidden="1" x14ac:dyDescent="0.3">
      <c r="A548" t="s">
        <v>185</v>
      </c>
      <c r="B548" t="s">
        <v>67</v>
      </c>
      <c r="C548" t="s">
        <v>89</v>
      </c>
      <c r="D548">
        <v>2025</v>
      </c>
      <c r="E548" t="s">
        <v>36</v>
      </c>
      <c r="F548">
        <v>0</v>
      </c>
    </row>
    <row r="549" spans="1:6" hidden="1" x14ac:dyDescent="0.3">
      <c r="A549" t="s">
        <v>189</v>
      </c>
      <c r="B549" t="s">
        <v>67</v>
      </c>
      <c r="C549" t="s">
        <v>89</v>
      </c>
      <c r="D549">
        <v>2025</v>
      </c>
      <c r="E549" t="s">
        <v>36</v>
      </c>
      <c r="F549">
        <v>0</v>
      </c>
    </row>
    <row r="550" spans="1:6" hidden="1" x14ac:dyDescent="0.3">
      <c r="A550" t="s">
        <v>187</v>
      </c>
      <c r="B550" t="s">
        <v>67</v>
      </c>
      <c r="C550" t="s">
        <v>89</v>
      </c>
      <c r="D550">
        <v>2025</v>
      </c>
      <c r="E550" t="s">
        <v>36</v>
      </c>
      <c r="F550">
        <v>0</v>
      </c>
    </row>
    <row r="551" spans="1:6" hidden="1" x14ac:dyDescent="0.3">
      <c r="A551" t="s">
        <v>64</v>
      </c>
      <c r="B551" t="s">
        <v>67</v>
      </c>
      <c r="C551" t="s">
        <v>89</v>
      </c>
      <c r="D551">
        <v>2030</v>
      </c>
      <c r="E551" t="s">
        <v>36</v>
      </c>
      <c r="F551" s="10">
        <f>15000000*0.25</f>
        <v>3750000</v>
      </c>
    </row>
    <row r="552" spans="1:6" hidden="1" x14ac:dyDescent="0.3">
      <c r="A552" t="s">
        <v>65</v>
      </c>
      <c r="B552" t="s">
        <v>67</v>
      </c>
      <c r="C552" t="s">
        <v>89</v>
      </c>
      <c r="D552">
        <v>2030</v>
      </c>
      <c r="E552" t="s">
        <v>36</v>
      </c>
      <c r="F552" s="10">
        <f>15000000*0.5</f>
        <v>7500000</v>
      </c>
    </row>
    <row r="553" spans="1:6" hidden="1" x14ac:dyDescent="0.3">
      <c r="A553" t="s">
        <v>79</v>
      </c>
      <c r="B553" t="s">
        <v>67</v>
      </c>
      <c r="C553" t="s">
        <v>89</v>
      </c>
      <c r="D553">
        <v>2030</v>
      </c>
      <c r="E553" t="s">
        <v>36</v>
      </c>
      <c r="F553" s="10">
        <f>15000000*0.16</f>
        <v>2400000</v>
      </c>
    </row>
    <row r="554" spans="1:6" hidden="1" x14ac:dyDescent="0.3">
      <c r="A554" t="s">
        <v>66</v>
      </c>
      <c r="B554" t="s">
        <v>67</v>
      </c>
      <c r="C554" t="s">
        <v>89</v>
      </c>
      <c r="D554">
        <v>2030</v>
      </c>
      <c r="E554" t="s">
        <v>36</v>
      </c>
      <c r="F554">
        <f>15000000*0.09</f>
        <v>1350000</v>
      </c>
    </row>
    <row r="555" spans="1:6" hidden="1" x14ac:dyDescent="0.3">
      <c r="A555" t="s">
        <v>185</v>
      </c>
      <c r="B555" t="s">
        <v>67</v>
      </c>
      <c r="C555" t="s">
        <v>89</v>
      </c>
      <c r="D555">
        <v>2030</v>
      </c>
      <c r="E555" t="s">
        <v>36</v>
      </c>
      <c r="F555">
        <v>0</v>
      </c>
    </row>
    <row r="556" spans="1:6" hidden="1" x14ac:dyDescent="0.3">
      <c r="A556" t="s">
        <v>189</v>
      </c>
      <c r="B556" t="s">
        <v>67</v>
      </c>
      <c r="C556" t="s">
        <v>89</v>
      </c>
      <c r="D556">
        <v>2030</v>
      </c>
      <c r="E556" t="s">
        <v>36</v>
      </c>
      <c r="F556">
        <v>0</v>
      </c>
    </row>
    <row r="557" spans="1:6" hidden="1" x14ac:dyDescent="0.3">
      <c r="A557" t="s">
        <v>187</v>
      </c>
      <c r="B557" t="s">
        <v>67</v>
      </c>
      <c r="C557" t="s">
        <v>89</v>
      </c>
      <c r="D557">
        <v>2030</v>
      </c>
      <c r="E557" t="s">
        <v>36</v>
      </c>
      <c r="F557">
        <v>0</v>
      </c>
    </row>
    <row r="558" spans="1:6" hidden="1" x14ac:dyDescent="0.3">
      <c r="A558" t="s">
        <v>64</v>
      </c>
      <c r="B558" t="s">
        <v>67</v>
      </c>
      <c r="C558" t="s">
        <v>89</v>
      </c>
      <c r="D558">
        <v>2050</v>
      </c>
      <c r="E558" t="s">
        <v>36</v>
      </c>
      <c r="F558" s="10">
        <f>15000000*0.08</f>
        <v>1200000</v>
      </c>
    </row>
    <row r="559" spans="1:6" hidden="1" x14ac:dyDescent="0.3">
      <c r="A559" t="s">
        <v>65</v>
      </c>
      <c r="B559" t="s">
        <v>67</v>
      </c>
      <c r="C559" t="s">
        <v>89</v>
      </c>
      <c r="D559">
        <v>2050</v>
      </c>
      <c r="E559" t="s">
        <v>36</v>
      </c>
      <c r="F559" s="10">
        <f>15000000*0.1</f>
        <v>1500000</v>
      </c>
    </row>
    <row r="560" spans="1:6" hidden="1" x14ac:dyDescent="0.3">
      <c r="A560" t="s">
        <v>79</v>
      </c>
      <c r="B560" t="s">
        <v>67</v>
      </c>
      <c r="C560" t="s">
        <v>89</v>
      </c>
      <c r="D560">
        <v>2050</v>
      </c>
      <c r="E560" t="s">
        <v>36</v>
      </c>
      <c r="F560" s="10">
        <f>15000000*0.17</f>
        <v>2550000</v>
      </c>
    </row>
    <row r="561" spans="1:6" hidden="1" x14ac:dyDescent="0.3">
      <c r="A561" t="s">
        <v>66</v>
      </c>
      <c r="B561" t="s">
        <v>67</v>
      </c>
      <c r="C561" t="s">
        <v>89</v>
      </c>
      <c r="D561">
        <v>2050</v>
      </c>
      <c r="E561" t="s">
        <v>36</v>
      </c>
      <c r="F561">
        <f>15000000*0.4</f>
        <v>6000000</v>
      </c>
    </row>
    <row r="562" spans="1:6" hidden="1" x14ac:dyDescent="0.3">
      <c r="A562" t="s">
        <v>185</v>
      </c>
      <c r="B562" t="s">
        <v>67</v>
      </c>
      <c r="C562" t="s">
        <v>89</v>
      </c>
      <c r="D562">
        <v>2050</v>
      </c>
      <c r="E562" t="s">
        <v>36</v>
      </c>
      <c r="F562">
        <f>15000000*0.05</f>
        <v>750000</v>
      </c>
    </row>
    <row r="563" spans="1:6" hidden="1" x14ac:dyDescent="0.3">
      <c r="A563" t="s">
        <v>189</v>
      </c>
      <c r="B563" t="s">
        <v>67</v>
      </c>
      <c r="C563" t="s">
        <v>89</v>
      </c>
      <c r="D563">
        <v>2050</v>
      </c>
      <c r="E563" t="s">
        <v>36</v>
      </c>
      <c r="F563">
        <f>15000000*0.1</f>
        <v>1500000</v>
      </c>
    </row>
    <row r="564" spans="1:6" hidden="1" x14ac:dyDescent="0.3">
      <c r="A564" t="s">
        <v>187</v>
      </c>
      <c r="B564" t="s">
        <v>67</v>
      </c>
      <c r="C564" t="s">
        <v>89</v>
      </c>
      <c r="D564">
        <v>2050</v>
      </c>
      <c r="E564" t="s">
        <v>36</v>
      </c>
      <c r="F564">
        <f>15000000*0.1</f>
        <v>1500000</v>
      </c>
    </row>
    <row r="565" spans="1:6" hidden="1" x14ac:dyDescent="0.3">
      <c r="A565" t="s">
        <v>64</v>
      </c>
      <c r="B565" t="s">
        <v>67</v>
      </c>
      <c r="C565" t="s">
        <v>90</v>
      </c>
      <c r="D565">
        <v>2015</v>
      </c>
      <c r="E565" t="s">
        <v>36</v>
      </c>
      <c r="F565" s="10">
        <f>6500000*0.3</f>
        <v>1950000</v>
      </c>
    </row>
    <row r="566" spans="1:6" hidden="1" x14ac:dyDescent="0.3">
      <c r="A566" t="s">
        <v>65</v>
      </c>
      <c r="B566" t="s">
        <v>67</v>
      </c>
      <c r="C566" t="s">
        <v>90</v>
      </c>
      <c r="D566">
        <v>2015</v>
      </c>
      <c r="E566" t="s">
        <v>36</v>
      </c>
      <c r="F566" s="10">
        <f>6500000*0.57</f>
        <v>3704999.9999999995</v>
      </c>
    </row>
    <row r="567" spans="1:6" hidden="1" x14ac:dyDescent="0.3">
      <c r="A567" t="s">
        <v>79</v>
      </c>
      <c r="B567" t="s">
        <v>67</v>
      </c>
      <c r="C567" t="s">
        <v>90</v>
      </c>
      <c r="D567">
        <v>2015</v>
      </c>
      <c r="E567" t="s">
        <v>36</v>
      </c>
      <c r="F567" s="10">
        <f>6500000*0.13</f>
        <v>845000</v>
      </c>
    </row>
    <row r="568" spans="1:6" hidden="1" x14ac:dyDescent="0.3">
      <c r="A568" t="s">
        <v>66</v>
      </c>
      <c r="B568" t="s">
        <v>67</v>
      </c>
      <c r="C568" t="s">
        <v>90</v>
      </c>
      <c r="D568">
        <v>2015</v>
      </c>
      <c r="E568" t="s">
        <v>36</v>
      </c>
      <c r="F568">
        <v>0</v>
      </c>
    </row>
    <row r="569" spans="1:6" hidden="1" x14ac:dyDescent="0.3">
      <c r="A569" t="s">
        <v>64</v>
      </c>
      <c r="B569" t="s">
        <v>67</v>
      </c>
      <c r="C569" t="s">
        <v>90</v>
      </c>
      <c r="D569">
        <v>2025</v>
      </c>
      <c r="E569" t="s">
        <v>36</v>
      </c>
      <c r="F569" s="10">
        <f>6500000*0.3</f>
        <v>1950000</v>
      </c>
    </row>
    <row r="570" spans="1:6" hidden="1" x14ac:dyDescent="0.3">
      <c r="A570" t="s">
        <v>65</v>
      </c>
      <c r="B570" t="s">
        <v>67</v>
      </c>
      <c r="C570" t="s">
        <v>90</v>
      </c>
      <c r="D570">
        <v>2025</v>
      </c>
      <c r="E570" t="s">
        <v>36</v>
      </c>
      <c r="F570" s="10">
        <f>6500000*0.57</f>
        <v>3704999.9999999995</v>
      </c>
    </row>
    <row r="571" spans="1:6" hidden="1" x14ac:dyDescent="0.3">
      <c r="A571" t="s">
        <v>79</v>
      </c>
      <c r="B571" t="s">
        <v>67</v>
      </c>
      <c r="C571" t="s">
        <v>90</v>
      </c>
      <c r="D571">
        <v>2025</v>
      </c>
      <c r="E571" t="s">
        <v>36</v>
      </c>
      <c r="F571" s="10">
        <f>6500000*0.13</f>
        <v>845000</v>
      </c>
    </row>
    <row r="572" spans="1:6" hidden="1" x14ac:dyDescent="0.3">
      <c r="A572" t="s">
        <v>66</v>
      </c>
      <c r="B572" t="s">
        <v>67</v>
      </c>
      <c r="C572" t="s">
        <v>90</v>
      </c>
      <c r="D572">
        <v>2025</v>
      </c>
      <c r="E572" t="s">
        <v>36</v>
      </c>
      <c r="F572">
        <v>0</v>
      </c>
    </row>
    <row r="573" spans="1:6" hidden="1" x14ac:dyDescent="0.3">
      <c r="A573" t="s">
        <v>185</v>
      </c>
      <c r="B573" t="s">
        <v>67</v>
      </c>
      <c r="C573" t="s">
        <v>90</v>
      </c>
      <c r="D573">
        <v>2025</v>
      </c>
      <c r="E573" t="s">
        <v>36</v>
      </c>
      <c r="F573">
        <v>0</v>
      </c>
    </row>
    <row r="574" spans="1:6" hidden="1" x14ac:dyDescent="0.3">
      <c r="A574" t="s">
        <v>189</v>
      </c>
      <c r="B574" t="s">
        <v>67</v>
      </c>
      <c r="C574" t="s">
        <v>90</v>
      </c>
      <c r="D574">
        <v>2025</v>
      </c>
      <c r="E574" t="s">
        <v>36</v>
      </c>
      <c r="F574">
        <v>0</v>
      </c>
    </row>
    <row r="575" spans="1:6" hidden="1" x14ac:dyDescent="0.3">
      <c r="A575" t="s">
        <v>187</v>
      </c>
      <c r="B575" t="s">
        <v>67</v>
      </c>
      <c r="C575" t="s">
        <v>90</v>
      </c>
      <c r="D575">
        <v>2025</v>
      </c>
      <c r="E575" t="s">
        <v>36</v>
      </c>
      <c r="F575">
        <v>0</v>
      </c>
    </row>
    <row r="576" spans="1:6" hidden="1" x14ac:dyDescent="0.3">
      <c r="A576" t="s">
        <v>64</v>
      </c>
      <c r="B576" t="s">
        <v>67</v>
      </c>
      <c r="C576" t="s">
        <v>90</v>
      </c>
      <c r="D576">
        <v>2030</v>
      </c>
      <c r="E576" t="s">
        <v>36</v>
      </c>
      <c r="F576" s="10">
        <f>6500000*0.25</f>
        <v>1625000</v>
      </c>
    </row>
    <row r="577" spans="1:6" hidden="1" x14ac:dyDescent="0.3">
      <c r="A577" t="s">
        <v>65</v>
      </c>
      <c r="B577" t="s">
        <v>67</v>
      </c>
      <c r="C577" t="s">
        <v>90</v>
      </c>
      <c r="D577">
        <v>2030</v>
      </c>
      <c r="E577" t="s">
        <v>36</v>
      </c>
      <c r="F577" s="10">
        <f>6500000*0.5</f>
        <v>3250000</v>
      </c>
    </row>
    <row r="578" spans="1:6" hidden="1" x14ac:dyDescent="0.3">
      <c r="A578" t="s">
        <v>79</v>
      </c>
      <c r="B578" t="s">
        <v>67</v>
      </c>
      <c r="C578" t="s">
        <v>90</v>
      </c>
      <c r="D578">
        <v>2030</v>
      </c>
      <c r="E578" t="s">
        <v>36</v>
      </c>
      <c r="F578" s="10">
        <f>6500000*0.16</f>
        <v>1040000</v>
      </c>
    </row>
    <row r="579" spans="1:6" hidden="1" x14ac:dyDescent="0.3">
      <c r="A579" t="s">
        <v>66</v>
      </c>
      <c r="B579" t="s">
        <v>67</v>
      </c>
      <c r="C579" t="s">
        <v>90</v>
      </c>
      <c r="D579">
        <v>2030</v>
      </c>
      <c r="E579" t="s">
        <v>36</v>
      </c>
      <c r="F579">
        <f>6500000*0.09</f>
        <v>585000</v>
      </c>
    </row>
    <row r="580" spans="1:6" hidden="1" x14ac:dyDescent="0.3">
      <c r="A580" t="s">
        <v>185</v>
      </c>
      <c r="B580" t="s">
        <v>67</v>
      </c>
      <c r="C580" t="s">
        <v>90</v>
      </c>
      <c r="D580">
        <v>2030</v>
      </c>
      <c r="E580" t="s">
        <v>36</v>
      </c>
      <c r="F580">
        <v>0</v>
      </c>
    </row>
    <row r="581" spans="1:6" hidden="1" x14ac:dyDescent="0.3">
      <c r="A581" t="s">
        <v>189</v>
      </c>
      <c r="B581" t="s">
        <v>67</v>
      </c>
      <c r="C581" t="s">
        <v>90</v>
      </c>
      <c r="D581">
        <v>2030</v>
      </c>
      <c r="E581" t="s">
        <v>36</v>
      </c>
      <c r="F581">
        <v>0</v>
      </c>
    </row>
    <row r="582" spans="1:6" hidden="1" x14ac:dyDescent="0.3">
      <c r="A582" t="s">
        <v>187</v>
      </c>
      <c r="B582" t="s">
        <v>67</v>
      </c>
      <c r="C582" t="s">
        <v>90</v>
      </c>
      <c r="D582">
        <v>2030</v>
      </c>
      <c r="E582" t="s">
        <v>36</v>
      </c>
      <c r="F582">
        <v>0</v>
      </c>
    </row>
    <row r="583" spans="1:6" hidden="1" x14ac:dyDescent="0.3">
      <c r="A583" t="s">
        <v>64</v>
      </c>
      <c r="B583" t="s">
        <v>67</v>
      </c>
      <c r="C583" t="s">
        <v>90</v>
      </c>
      <c r="D583">
        <v>2050</v>
      </c>
      <c r="E583" t="s">
        <v>36</v>
      </c>
      <c r="F583" s="10">
        <f>6500000*0.08</f>
        <v>520000</v>
      </c>
    </row>
    <row r="584" spans="1:6" hidden="1" x14ac:dyDescent="0.3">
      <c r="A584" t="s">
        <v>65</v>
      </c>
      <c r="B584" t="s">
        <v>67</v>
      </c>
      <c r="C584" t="s">
        <v>90</v>
      </c>
      <c r="D584">
        <v>2050</v>
      </c>
      <c r="E584" t="s">
        <v>36</v>
      </c>
      <c r="F584" s="10">
        <f>6500000*0.1</f>
        <v>650000</v>
      </c>
    </row>
    <row r="585" spans="1:6" hidden="1" x14ac:dyDescent="0.3">
      <c r="A585" t="s">
        <v>79</v>
      </c>
      <c r="B585" t="s">
        <v>67</v>
      </c>
      <c r="C585" t="s">
        <v>90</v>
      </c>
      <c r="D585">
        <v>2050</v>
      </c>
      <c r="E585" t="s">
        <v>36</v>
      </c>
      <c r="F585" s="10">
        <f>6500000*0.17</f>
        <v>1105000</v>
      </c>
    </row>
    <row r="586" spans="1:6" hidden="1" x14ac:dyDescent="0.3">
      <c r="A586" t="s">
        <v>66</v>
      </c>
      <c r="B586" t="s">
        <v>67</v>
      </c>
      <c r="C586" t="s">
        <v>90</v>
      </c>
      <c r="D586">
        <v>2050</v>
      </c>
      <c r="E586" t="s">
        <v>36</v>
      </c>
      <c r="F586">
        <f>6500000*0.4</f>
        <v>2600000</v>
      </c>
    </row>
    <row r="587" spans="1:6" hidden="1" x14ac:dyDescent="0.3">
      <c r="A587" t="s">
        <v>185</v>
      </c>
      <c r="B587" t="s">
        <v>67</v>
      </c>
      <c r="C587" t="s">
        <v>90</v>
      </c>
      <c r="D587">
        <v>2050</v>
      </c>
      <c r="E587" t="s">
        <v>36</v>
      </c>
      <c r="F587">
        <f>6500000*0.05</f>
        <v>325000</v>
      </c>
    </row>
    <row r="588" spans="1:6" hidden="1" x14ac:dyDescent="0.3">
      <c r="A588" t="s">
        <v>189</v>
      </c>
      <c r="B588" t="s">
        <v>67</v>
      </c>
      <c r="C588" t="s">
        <v>90</v>
      </c>
      <c r="D588">
        <v>2050</v>
      </c>
      <c r="E588" t="s">
        <v>36</v>
      </c>
      <c r="F588">
        <f>6500000*0.1</f>
        <v>650000</v>
      </c>
    </row>
    <row r="589" spans="1:6" hidden="1" x14ac:dyDescent="0.3">
      <c r="A589" t="s">
        <v>187</v>
      </c>
      <c r="B589" t="s">
        <v>67</v>
      </c>
      <c r="C589" t="s">
        <v>90</v>
      </c>
      <c r="D589">
        <v>2050</v>
      </c>
      <c r="E589" t="s">
        <v>36</v>
      </c>
      <c r="F589">
        <f>6500000*0.1</f>
        <v>650000</v>
      </c>
    </row>
    <row r="590" spans="1:6" hidden="1" x14ac:dyDescent="0.3">
      <c r="A590" t="s">
        <v>64</v>
      </c>
      <c r="B590" t="s">
        <v>67</v>
      </c>
      <c r="C590" t="s">
        <v>88</v>
      </c>
      <c r="D590">
        <v>2015</v>
      </c>
      <c r="E590" t="s">
        <v>36</v>
      </c>
      <c r="F590" s="10">
        <f>11000000*0.3</f>
        <v>3300000</v>
      </c>
    </row>
    <row r="591" spans="1:6" hidden="1" x14ac:dyDescent="0.3">
      <c r="A591" t="s">
        <v>65</v>
      </c>
      <c r="B591" t="s">
        <v>67</v>
      </c>
      <c r="C591" t="s">
        <v>88</v>
      </c>
      <c r="D591">
        <v>2015</v>
      </c>
      <c r="E591" t="s">
        <v>36</v>
      </c>
      <c r="F591" s="10">
        <f>11000000*0.57</f>
        <v>6269999.9999999991</v>
      </c>
    </row>
    <row r="592" spans="1:6" hidden="1" x14ac:dyDescent="0.3">
      <c r="A592" t="s">
        <v>79</v>
      </c>
      <c r="B592" t="s">
        <v>67</v>
      </c>
      <c r="C592" t="s">
        <v>88</v>
      </c>
      <c r="D592">
        <v>2015</v>
      </c>
      <c r="E592" t="s">
        <v>36</v>
      </c>
      <c r="F592" s="10">
        <f>11000000*0.13</f>
        <v>1430000</v>
      </c>
    </row>
    <row r="593" spans="1:6" hidden="1" x14ac:dyDescent="0.3">
      <c r="A593" t="s">
        <v>66</v>
      </c>
      <c r="B593" t="s">
        <v>67</v>
      </c>
      <c r="C593" t="s">
        <v>88</v>
      </c>
      <c r="D593">
        <v>2015</v>
      </c>
      <c r="E593" t="s">
        <v>36</v>
      </c>
      <c r="F593">
        <v>0</v>
      </c>
    </row>
    <row r="594" spans="1:6" hidden="1" x14ac:dyDescent="0.3">
      <c r="A594" t="s">
        <v>64</v>
      </c>
      <c r="B594" t="s">
        <v>67</v>
      </c>
      <c r="C594" t="s">
        <v>88</v>
      </c>
      <c r="D594">
        <v>2025</v>
      </c>
      <c r="E594" t="s">
        <v>36</v>
      </c>
      <c r="F594" s="10">
        <f>11000000*0.3</f>
        <v>3300000</v>
      </c>
    </row>
    <row r="595" spans="1:6" hidden="1" x14ac:dyDescent="0.3">
      <c r="A595" t="s">
        <v>65</v>
      </c>
      <c r="B595" t="s">
        <v>67</v>
      </c>
      <c r="C595" t="s">
        <v>88</v>
      </c>
      <c r="D595">
        <v>2025</v>
      </c>
      <c r="E595" t="s">
        <v>36</v>
      </c>
      <c r="F595" s="10">
        <f>11000000*0.57</f>
        <v>6269999.9999999991</v>
      </c>
    </row>
    <row r="596" spans="1:6" hidden="1" x14ac:dyDescent="0.3">
      <c r="A596" t="s">
        <v>79</v>
      </c>
      <c r="B596" t="s">
        <v>67</v>
      </c>
      <c r="C596" t="s">
        <v>88</v>
      </c>
      <c r="D596">
        <v>2025</v>
      </c>
      <c r="E596" t="s">
        <v>36</v>
      </c>
      <c r="F596" s="10">
        <f>11000000*0.13</f>
        <v>1430000</v>
      </c>
    </row>
    <row r="597" spans="1:6" hidden="1" x14ac:dyDescent="0.3">
      <c r="A597" t="s">
        <v>66</v>
      </c>
      <c r="B597" t="s">
        <v>67</v>
      </c>
      <c r="C597" t="s">
        <v>88</v>
      </c>
      <c r="D597">
        <v>2025</v>
      </c>
      <c r="E597" t="s">
        <v>36</v>
      </c>
      <c r="F597">
        <v>0</v>
      </c>
    </row>
    <row r="598" spans="1:6" hidden="1" x14ac:dyDescent="0.3">
      <c r="A598" t="s">
        <v>185</v>
      </c>
      <c r="B598" t="s">
        <v>67</v>
      </c>
      <c r="C598" t="s">
        <v>88</v>
      </c>
      <c r="D598">
        <v>2025</v>
      </c>
      <c r="E598" t="s">
        <v>36</v>
      </c>
      <c r="F598">
        <v>0</v>
      </c>
    </row>
    <row r="599" spans="1:6" hidden="1" x14ac:dyDescent="0.3">
      <c r="A599" t="s">
        <v>189</v>
      </c>
      <c r="B599" t="s">
        <v>67</v>
      </c>
      <c r="C599" t="s">
        <v>88</v>
      </c>
      <c r="D599">
        <v>2025</v>
      </c>
      <c r="E599" t="s">
        <v>36</v>
      </c>
      <c r="F599">
        <v>0</v>
      </c>
    </row>
    <row r="600" spans="1:6" hidden="1" x14ac:dyDescent="0.3">
      <c r="A600" t="s">
        <v>187</v>
      </c>
      <c r="B600" t="s">
        <v>67</v>
      </c>
      <c r="C600" t="s">
        <v>88</v>
      </c>
      <c r="D600">
        <v>2025</v>
      </c>
      <c r="E600" t="s">
        <v>36</v>
      </c>
      <c r="F600">
        <v>0</v>
      </c>
    </row>
    <row r="601" spans="1:6" hidden="1" x14ac:dyDescent="0.3">
      <c r="A601" t="s">
        <v>64</v>
      </c>
      <c r="B601" t="s">
        <v>67</v>
      </c>
      <c r="C601" t="s">
        <v>88</v>
      </c>
      <c r="D601">
        <v>2030</v>
      </c>
      <c r="E601" t="s">
        <v>36</v>
      </c>
      <c r="F601" s="10">
        <f>11000000*0.25</f>
        <v>2750000</v>
      </c>
    </row>
    <row r="602" spans="1:6" hidden="1" x14ac:dyDescent="0.3">
      <c r="A602" t="s">
        <v>65</v>
      </c>
      <c r="B602" t="s">
        <v>67</v>
      </c>
      <c r="C602" t="s">
        <v>88</v>
      </c>
      <c r="D602">
        <v>2030</v>
      </c>
      <c r="E602" t="s">
        <v>36</v>
      </c>
      <c r="F602" s="10">
        <f>11000000*0.5</f>
        <v>5500000</v>
      </c>
    </row>
    <row r="603" spans="1:6" hidden="1" x14ac:dyDescent="0.3">
      <c r="A603" t="s">
        <v>79</v>
      </c>
      <c r="B603" t="s">
        <v>67</v>
      </c>
      <c r="C603" t="s">
        <v>88</v>
      </c>
      <c r="D603">
        <v>2030</v>
      </c>
      <c r="E603" t="s">
        <v>36</v>
      </c>
      <c r="F603" s="10">
        <f>11000000*0.16</f>
        <v>1760000</v>
      </c>
    </row>
    <row r="604" spans="1:6" hidden="1" x14ac:dyDescent="0.3">
      <c r="A604" t="s">
        <v>66</v>
      </c>
      <c r="B604" t="s">
        <v>67</v>
      </c>
      <c r="C604" t="s">
        <v>88</v>
      </c>
      <c r="D604">
        <v>2030</v>
      </c>
      <c r="E604" t="s">
        <v>36</v>
      </c>
      <c r="F604">
        <f>11000000*0.09</f>
        <v>990000</v>
      </c>
    </row>
    <row r="605" spans="1:6" hidden="1" x14ac:dyDescent="0.3">
      <c r="A605" t="s">
        <v>185</v>
      </c>
      <c r="B605" t="s">
        <v>67</v>
      </c>
      <c r="C605" t="s">
        <v>88</v>
      </c>
      <c r="D605">
        <v>2030</v>
      </c>
      <c r="E605" t="s">
        <v>36</v>
      </c>
      <c r="F605">
        <v>0</v>
      </c>
    </row>
    <row r="606" spans="1:6" hidden="1" x14ac:dyDescent="0.3">
      <c r="A606" t="s">
        <v>189</v>
      </c>
      <c r="B606" t="s">
        <v>67</v>
      </c>
      <c r="C606" t="s">
        <v>88</v>
      </c>
      <c r="D606">
        <v>2030</v>
      </c>
      <c r="E606" t="s">
        <v>36</v>
      </c>
      <c r="F606">
        <v>0</v>
      </c>
    </row>
    <row r="607" spans="1:6" hidden="1" x14ac:dyDescent="0.3">
      <c r="A607" t="s">
        <v>187</v>
      </c>
      <c r="B607" t="s">
        <v>67</v>
      </c>
      <c r="C607" t="s">
        <v>88</v>
      </c>
      <c r="D607">
        <v>2030</v>
      </c>
      <c r="E607" t="s">
        <v>36</v>
      </c>
      <c r="F607">
        <v>0</v>
      </c>
    </row>
    <row r="608" spans="1:6" hidden="1" x14ac:dyDescent="0.3">
      <c r="A608" t="s">
        <v>64</v>
      </c>
      <c r="B608" t="s">
        <v>67</v>
      </c>
      <c r="C608" t="s">
        <v>88</v>
      </c>
      <c r="D608">
        <v>2050</v>
      </c>
      <c r="E608" t="s">
        <v>36</v>
      </c>
      <c r="F608" s="10">
        <f>11000000*0.08</f>
        <v>880000</v>
      </c>
    </row>
    <row r="609" spans="1:6" hidden="1" x14ac:dyDescent="0.3">
      <c r="A609" t="s">
        <v>65</v>
      </c>
      <c r="B609" t="s">
        <v>67</v>
      </c>
      <c r="C609" t="s">
        <v>88</v>
      </c>
      <c r="D609">
        <v>2050</v>
      </c>
      <c r="E609" t="s">
        <v>36</v>
      </c>
      <c r="F609" s="10">
        <f>11000000*0.1</f>
        <v>1100000</v>
      </c>
    </row>
    <row r="610" spans="1:6" hidden="1" x14ac:dyDescent="0.3">
      <c r="A610" t="s">
        <v>79</v>
      </c>
      <c r="B610" t="s">
        <v>67</v>
      </c>
      <c r="C610" t="s">
        <v>88</v>
      </c>
      <c r="D610">
        <v>2050</v>
      </c>
      <c r="E610" t="s">
        <v>36</v>
      </c>
      <c r="F610" s="10">
        <f>11000000*0.17</f>
        <v>1870000.0000000002</v>
      </c>
    </row>
    <row r="611" spans="1:6" hidden="1" x14ac:dyDescent="0.3">
      <c r="A611" t="s">
        <v>66</v>
      </c>
      <c r="B611" t="s">
        <v>67</v>
      </c>
      <c r="C611" t="s">
        <v>88</v>
      </c>
      <c r="D611">
        <v>2050</v>
      </c>
      <c r="E611" t="s">
        <v>36</v>
      </c>
      <c r="F611">
        <f>11000000*0.4</f>
        <v>4400000</v>
      </c>
    </row>
    <row r="612" spans="1:6" hidden="1" x14ac:dyDescent="0.3">
      <c r="A612" t="s">
        <v>185</v>
      </c>
      <c r="B612" t="s">
        <v>67</v>
      </c>
      <c r="C612" t="s">
        <v>88</v>
      </c>
      <c r="D612">
        <v>2050</v>
      </c>
      <c r="E612" t="s">
        <v>36</v>
      </c>
      <c r="F612">
        <f>11000000*0.05</f>
        <v>550000</v>
      </c>
    </row>
    <row r="613" spans="1:6" hidden="1" x14ac:dyDescent="0.3">
      <c r="A613" t="s">
        <v>189</v>
      </c>
      <c r="B613" t="s">
        <v>67</v>
      </c>
      <c r="C613" t="s">
        <v>88</v>
      </c>
      <c r="D613">
        <v>2050</v>
      </c>
      <c r="E613" t="s">
        <v>36</v>
      </c>
      <c r="F613">
        <f>11000000*0.1</f>
        <v>1100000</v>
      </c>
    </row>
    <row r="614" spans="1:6" hidden="1" x14ac:dyDescent="0.3">
      <c r="A614" t="s">
        <v>187</v>
      </c>
      <c r="B614" t="s">
        <v>67</v>
      </c>
      <c r="C614" t="s">
        <v>88</v>
      </c>
      <c r="D614">
        <v>2050</v>
      </c>
      <c r="E614" t="s">
        <v>36</v>
      </c>
      <c r="F614">
        <f>11000000*0.1</f>
        <v>1100000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40"/>
  <sheetViews>
    <sheetView topLeftCell="A4" workbookViewId="0">
      <selection activeCell="D19" sqref="D19"/>
    </sheetView>
  </sheetViews>
  <sheetFormatPr baseColWidth="10" defaultRowHeight="14.4" x14ac:dyDescent="0.3"/>
  <cols>
    <col min="4" max="4" width="30.109375" customWidth="1"/>
  </cols>
  <sheetData>
    <row r="1" spans="1:5" x14ac:dyDescent="0.3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s="26" t="s">
        <v>60</v>
      </c>
      <c r="B2" s="25"/>
      <c r="C2" s="25">
        <v>2035</v>
      </c>
      <c r="D2" s="25" t="s">
        <v>92</v>
      </c>
      <c r="E2" s="29"/>
    </row>
    <row r="3" spans="1:5" x14ac:dyDescent="0.3">
      <c r="A3" s="26" t="s">
        <v>60</v>
      </c>
      <c r="B3" s="25"/>
      <c r="C3" s="25">
        <v>2040</v>
      </c>
      <c r="D3" s="25" t="s">
        <v>92</v>
      </c>
      <c r="E3" s="29"/>
    </row>
    <row r="4" spans="1:5" x14ac:dyDescent="0.3">
      <c r="A4" s="26" t="s">
        <v>60</v>
      </c>
      <c r="B4" s="25"/>
      <c r="C4" s="25">
        <v>2050</v>
      </c>
      <c r="D4" s="25" t="s">
        <v>92</v>
      </c>
      <c r="E4" s="29"/>
    </row>
    <row r="5" spans="1:5" x14ac:dyDescent="0.3">
      <c r="A5" s="26"/>
      <c r="B5" s="25"/>
      <c r="C5" s="25">
        <v>2030</v>
      </c>
      <c r="D5" s="25" t="s">
        <v>180</v>
      </c>
      <c r="E5" s="29">
        <v>21.24</v>
      </c>
    </row>
    <row r="6" spans="1:5" x14ac:dyDescent="0.3">
      <c r="A6" s="26"/>
      <c r="B6" s="25"/>
      <c r="C6" s="25">
        <v>2050</v>
      </c>
      <c r="D6" s="25" t="s">
        <v>180</v>
      </c>
      <c r="E6" s="29">
        <v>17.149999999999999</v>
      </c>
    </row>
    <row r="7" spans="1:5" x14ac:dyDescent="0.3">
      <c r="A7" s="11"/>
      <c r="B7" s="12"/>
      <c r="C7" s="12">
        <v>2015</v>
      </c>
      <c r="D7" s="12" t="s">
        <v>43</v>
      </c>
      <c r="E7" s="13">
        <v>0</v>
      </c>
    </row>
    <row r="8" spans="1:5" x14ac:dyDescent="0.3">
      <c r="A8" s="11"/>
      <c r="B8" s="12"/>
      <c r="C8" s="12">
        <v>2020</v>
      </c>
      <c r="D8" s="12" t="s">
        <v>43</v>
      </c>
      <c r="E8" s="13">
        <v>0</v>
      </c>
    </row>
    <row r="9" spans="1:5" x14ac:dyDescent="0.3">
      <c r="A9" s="11"/>
      <c r="B9" s="12"/>
      <c r="C9" s="12">
        <v>2025</v>
      </c>
      <c r="D9" s="12" t="s">
        <v>43</v>
      </c>
      <c r="E9" s="13">
        <v>25</v>
      </c>
    </row>
    <row r="10" spans="1:5" x14ac:dyDescent="0.3">
      <c r="A10" s="11"/>
      <c r="B10" s="12"/>
      <c r="C10" s="12">
        <v>2030</v>
      </c>
      <c r="D10" s="12" t="s">
        <v>43</v>
      </c>
      <c r="E10" s="13">
        <v>50</v>
      </c>
    </row>
    <row r="11" spans="1:5" x14ac:dyDescent="0.3">
      <c r="A11" s="11"/>
      <c r="B11" s="12"/>
      <c r="C11" s="12">
        <v>2050</v>
      </c>
      <c r="D11" s="12" t="s">
        <v>43</v>
      </c>
      <c r="E11" s="13">
        <v>150</v>
      </c>
    </row>
    <row r="12" spans="1:5" x14ac:dyDescent="0.3">
      <c r="A12" s="26" t="s">
        <v>60</v>
      </c>
      <c r="B12" s="25" t="s">
        <v>24</v>
      </c>
      <c r="C12" s="25">
        <v>2020</v>
      </c>
      <c r="D12" s="25" t="s">
        <v>91</v>
      </c>
      <c r="E12" s="27">
        <v>0</v>
      </c>
    </row>
    <row r="13" spans="1:5" x14ac:dyDescent="0.3">
      <c r="A13" s="26" t="s">
        <v>60</v>
      </c>
      <c r="B13" s="25" t="s">
        <v>24</v>
      </c>
      <c r="C13" s="25">
        <v>2030</v>
      </c>
      <c r="D13" s="25" t="s">
        <v>91</v>
      </c>
      <c r="E13" s="27">
        <v>5267175.5725190844</v>
      </c>
    </row>
    <row r="14" spans="1:5" x14ac:dyDescent="0.3">
      <c r="A14" s="26" t="s">
        <v>60</v>
      </c>
      <c r="B14" s="25" t="s">
        <v>24</v>
      </c>
      <c r="C14" s="25">
        <v>2040</v>
      </c>
      <c r="D14" s="25" t="s">
        <v>91</v>
      </c>
      <c r="E14" s="27">
        <v>11412213.740458015</v>
      </c>
    </row>
    <row r="15" spans="1:5" x14ac:dyDescent="0.3">
      <c r="A15" s="26" t="s">
        <v>60</v>
      </c>
      <c r="B15" s="25" t="s">
        <v>24</v>
      </c>
      <c r="C15" s="25">
        <v>2050</v>
      </c>
      <c r="D15" s="25" t="s">
        <v>91</v>
      </c>
      <c r="E15" s="27">
        <v>17557251.908396948</v>
      </c>
    </row>
    <row r="16" spans="1:5" x14ac:dyDescent="0.3">
      <c r="A16" s="26" t="s">
        <v>60</v>
      </c>
      <c r="B16" s="25" t="s">
        <v>25</v>
      </c>
      <c r="C16" s="25">
        <v>2015</v>
      </c>
      <c r="D16" s="25" t="s">
        <v>91</v>
      </c>
      <c r="E16" s="27">
        <v>0</v>
      </c>
    </row>
    <row r="17" spans="1:5" x14ac:dyDescent="0.3">
      <c r="A17" s="26" t="s">
        <v>60</v>
      </c>
      <c r="B17" s="25" t="s">
        <v>25</v>
      </c>
      <c r="C17" s="25">
        <v>2020</v>
      </c>
      <c r="D17" s="25" t="s">
        <v>91</v>
      </c>
      <c r="E17" s="28">
        <v>0</v>
      </c>
    </row>
    <row r="18" spans="1:5" x14ac:dyDescent="0.3">
      <c r="A18" s="26" t="s">
        <v>60</v>
      </c>
      <c r="B18" s="25" t="s">
        <v>25</v>
      </c>
      <c r="C18" s="25">
        <v>2030</v>
      </c>
      <c r="D18" s="25" t="s">
        <v>91</v>
      </c>
      <c r="E18" s="28">
        <v>6030534.3511450384</v>
      </c>
    </row>
    <row r="19" spans="1:5" x14ac:dyDescent="0.3">
      <c r="A19" s="26" t="s">
        <v>60</v>
      </c>
      <c r="B19" s="25" t="s">
        <v>25</v>
      </c>
      <c r="C19" s="25">
        <v>2040</v>
      </c>
      <c r="D19" s="25" t="s">
        <v>91</v>
      </c>
      <c r="E19" s="28">
        <v>11030534.351145038</v>
      </c>
    </row>
    <row r="20" spans="1:5" x14ac:dyDescent="0.3">
      <c r="A20" s="26" t="s">
        <v>60</v>
      </c>
      <c r="B20" s="25" t="s">
        <v>25</v>
      </c>
      <c r="C20" s="25">
        <v>2050</v>
      </c>
      <c r="D20" s="25" t="s">
        <v>91</v>
      </c>
      <c r="E20" s="28">
        <v>16030534.351145038</v>
      </c>
    </row>
    <row r="21" spans="1:5" x14ac:dyDescent="0.3">
      <c r="A21" s="26" t="s">
        <v>60</v>
      </c>
      <c r="B21" s="25" t="s">
        <v>87</v>
      </c>
      <c r="C21" s="25">
        <v>2015</v>
      </c>
      <c r="D21" s="25" t="s">
        <v>91</v>
      </c>
      <c r="E21" s="27">
        <v>0</v>
      </c>
    </row>
    <row r="22" spans="1:5" x14ac:dyDescent="0.3">
      <c r="A22" s="26" t="s">
        <v>60</v>
      </c>
      <c r="B22" s="25" t="s">
        <v>87</v>
      </c>
      <c r="C22" s="25">
        <v>2020</v>
      </c>
      <c r="D22" s="25" t="s">
        <v>91</v>
      </c>
      <c r="E22" s="28">
        <v>0</v>
      </c>
    </row>
    <row r="23" spans="1:5" x14ac:dyDescent="0.3">
      <c r="A23" s="26" t="s">
        <v>60</v>
      </c>
      <c r="B23" s="25" t="s">
        <v>87</v>
      </c>
      <c r="C23" s="25">
        <v>2030</v>
      </c>
      <c r="D23" s="25" t="s">
        <v>91</v>
      </c>
      <c r="E23" s="28">
        <v>4351145.0381679386</v>
      </c>
    </row>
    <row r="24" spans="1:5" x14ac:dyDescent="0.3">
      <c r="A24" s="26" t="s">
        <v>60</v>
      </c>
      <c r="B24" s="25" t="s">
        <v>87</v>
      </c>
      <c r="C24" s="25">
        <v>2040</v>
      </c>
      <c r="D24" s="25" t="s">
        <v>91</v>
      </c>
      <c r="E24" s="28">
        <v>7022900.7633587793</v>
      </c>
    </row>
    <row r="25" spans="1:5" x14ac:dyDescent="0.3">
      <c r="A25" s="26" t="s">
        <v>60</v>
      </c>
      <c r="B25" s="25" t="s">
        <v>87</v>
      </c>
      <c r="C25" s="25">
        <v>2050</v>
      </c>
      <c r="D25" s="25" t="s">
        <v>91</v>
      </c>
      <c r="E25" s="28">
        <v>9694656.4885496181</v>
      </c>
    </row>
    <row r="26" spans="1:5" x14ac:dyDescent="0.3">
      <c r="A26" s="26" t="s">
        <v>60</v>
      </c>
      <c r="B26" s="25" t="s">
        <v>88</v>
      </c>
      <c r="C26" s="25">
        <v>2015</v>
      </c>
      <c r="D26" s="25" t="s">
        <v>91</v>
      </c>
      <c r="E26" s="27">
        <v>0</v>
      </c>
    </row>
    <row r="27" spans="1:5" x14ac:dyDescent="0.3">
      <c r="A27" s="26" t="s">
        <v>60</v>
      </c>
      <c r="B27" s="25" t="s">
        <v>88</v>
      </c>
      <c r="C27" s="25">
        <v>2020</v>
      </c>
      <c r="D27" s="25" t="s">
        <v>91</v>
      </c>
      <c r="E27" s="28">
        <v>0</v>
      </c>
    </row>
    <row r="28" spans="1:5" x14ac:dyDescent="0.3">
      <c r="A28" s="26" t="s">
        <v>60</v>
      </c>
      <c r="B28" s="25" t="s">
        <v>88</v>
      </c>
      <c r="C28" s="25">
        <v>2030</v>
      </c>
      <c r="D28" s="25" t="s">
        <v>91</v>
      </c>
      <c r="E28" s="28">
        <v>3358778.6259541987</v>
      </c>
    </row>
    <row r="29" spans="1:5" x14ac:dyDescent="0.3">
      <c r="A29" s="26" t="s">
        <v>60</v>
      </c>
      <c r="B29" s="25" t="s">
        <v>88</v>
      </c>
      <c r="C29" s="25">
        <v>2040</v>
      </c>
      <c r="D29" s="25" t="s">
        <v>91</v>
      </c>
      <c r="E29" s="28">
        <v>6145038.1679389318</v>
      </c>
    </row>
    <row r="30" spans="1:5" x14ac:dyDescent="0.3">
      <c r="A30" s="26" t="s">
        <v>60</v>
      </c>
      <c r="B30" s="25" t="s">
        <v>88</v>
      </c>
      <c r="C30" s="25">
        <v>2050</v>
      </c>
      <c r="D30" s="25" t="s">
        <v>91</v>
      </c>
      <c r="E30" s="28">
        <v>8931297.7099236641</v>
      </c>
    </row>
    <row r="31" spans="1:5" x14ac:dyDescent="0.3">
      <c r="A31" s="26" t="s">
        <v>60</v>
      </c>
      <c r="B31" s="25" t="s">
        <v>89</v>
      </c>
      <c r="C31" s="25">
        <v>2015</v>
      </c>
      <c r="D31" s="25" t="s">
        <v>91</v>
      </c>
      <c r="E31" s="27">
        <v>0</v>
      </c>
    </row>
    <row r="32" spans="1:5" x14ac:dyDescent="0.3">
      <c r="A32" s="26" t="s">
        <v>60</v>
      </c>
      <c r="B32" s="25" t="s">
        <v>89</v>
      </c>
      <c r="C32" s="25">
        <v>2020</v>
      </c>
      <c r="D32" s="25" t="s">
        <v>91</v>
      </c>
      <c r="E32" s="28">
        <v>0</v>
      </c>
    </row>
    <row r="33" spans="1:5" x14ac:dyDescent="0.3">
      <c r="A33" s="26" t="s">
        <v>60</v>
      </c>
      <c r="B33" s="25" t="s">
        <v>89</v>
      </c>
      <c r="C33" s="25">
        <v>2030</v>
      </c>
      <c r="D33" s="25" t="s">
        <v>91</v>
      </c>
      <c r="E33" s="28">
        <v>2977099.2366412217</v>
      </c>
    </row>
    <row r="34" spans="1:5" x14ac:dyDescent="0.3">
      <c r="A34" s="26" t="s">
        <v>60</v>
      </c>
      <c r="B34" s="25" t="s">
        <v>89</v>
      </c>
      <c r="C34" s="25">
        <v>2040</v>
      </c>
      <c r="D34" s="25" t="s">
        <v>91</v>
      </c>
      <c r="E34" s="28">
        <v>8931297.7099236641</v>
      </c>
    </row>
    <row r="35" spans="1:5" x14ac:dyDescent="0.3">
      <c r="A35" s="26" t="s">
        <v>60</v>
      </c>
      <c r="B35" s="25" t="s">
        <v>89</v>
      </c>
      <c r="C35" s="25">
        <v>2050</v>
      </c>
      <c r="D35" s="25" t="s">
        <v>91</v>
      </c>
      <c r="E35" s="28">
        <v>14885496.183206107</v>
      </c>
    </row>
    <row r="36" spans="1:5" x14ac:dyDescent="0.3">
      <c r="A36" s="26" t="s">
        <v>60</v>
      </c>
      <c r="B36" s="25" t="s">
        <v>90</v>
      </c>
      <c r="C36" s="25">
        <v>2015</v>
      </c>
      <c r="D36" s="25" t="s">
        <v>91</v>
      </c>
      <c r="E36" s="27">
        <v>0</v>
      </c>
    </row>
    <row r="37" spans="1:5" x14ac:dyDescent="0.3">
      <c r="A37" s="26" t="s">
        <v>60</v>
      </c>
      <c r="B37" s="25" t="s">
        <v>90</v>
      </c>
      <c r="C37" s="25">
        <v>2020</v>
      </c>
      <c r="D37" s="25" t="s">
        <v>91</v>
      </c>
      <c r="E37" s="28">
        <v>0</v>
      </c>
    </row>
    <row r="38" spans="1:5" x14ac:dyDescent="0.3">
      <c r="A38" s="26" t="s">
        <v>60</v>
      </c>
      <c r="B38" s="25" t="s">
        <v>90</v>
      </c>
      <c r="C38" s="25">
        <v>2030</v>
      </c>
      <c r="D38" s="25" t="s">
        <v>91</v>
      </c>
      <c r="E38" s="28">
        <v>381679.38931297709</v>
      </c>
    </row>
    <row r="39" spans="1:5" x14ac:dyDescent="0.3">
      <c r="A39" s="26" t="s">
        <v>60</v>
      </c>
      <c r="B39" s="25" t="s">
        <v>90</v>
      </c>
      <c r="C39" s="25">
        <v>2040</v>
      </c>
      <c r="D39" s="25" t="s">
        <v>91</v>
      </c>
      <c r="E39" s="28">
        <v>954198.47328244278</v>
      </c>
    </row>
    <row r="40" spans="1:5" x14ac:dyDescent="0.3">
      <c r="A40" s="26" t="s">
        <v>60</v>
      </c>
      <c r="B40" s="25" t="s">
        <v>90</v>
      </c>
      <c r="C40" s="25">
        <v>2050</v>
      </c>
      <c r="D40" s="25" t="s">
        <v>91</v>
      </c>
      <c r="E40" s="28">
        <v>1526717.5572519084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233"/>
  <sheetViews>
    <sheetView workbookViewId="0">
      <selection activeCell="G4" sqref="G4"/>
    </sheetView>
  </sheetViews>
  <sheetFormatPr baseColWidth="10" defaultRowHeight="14.4" x14ac:dyDescent="0.3"/>
  <cols>
    <col min="1" max="1" width="29.109375" bestFit="1" customWidth="1"/>
    <col min="2" max="2" width="49.44140625" bestFit="1" customWidth="1"/>
    <col min="5" max="5" width="12.88671875" customWidth="1"/>
    <col min="6" max="6" width="20.88671875" bestFit="1" customWidth="1"/>
    <col min="7" max="7" width="15.109375" bestFit="1" customWidth="1"/>
  </cols>
  <sheetData>
    <row r="1" spans="1:7" x14ac:dyDescent="0.3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F2" t="s">
        <v>42</v>
      </c>
      <c r="G2">
        <v>20</v>
      </c>
    </row>
    <row r="3" spans="1:7" x14ac:dyDescent="0.3">
      <c r="A3" s="15"/>
      <c r="F3" t="s">
        <v>52</v>
      </c>
      <c r="G3">
        <v>0.08</v>
      </c>
    </row>
    <row r="4" spans="1:7" x14ac:dyDescent="0.3">
      <c r="A4" s="15" t="s">
        <v>82</v>
      </c>
      <c r="C4" t="s">
        <v>67</v>
      </c>
      <c r="F4" t="s">
        <v>42</v>
      </c>
      <c r="G4">
        <v>50</v>
      </c>
    </row>
    <row r="5" spans="1:7" x14ac:dyDescent="0.3">
      <c r="A5" s="15" t="s">
        <v>83</v>
      </c>
      <c r="C5" t="s">
        <v>67</v>
      </c>
      <c r="F5" t="s">
        <v>42</v>
      </c>
      <c r="G5">
        <v>50</v>
      </c>
    </row>
    <row r="6" spans="1:7" x14ac:dyDescent="0.3">
      <c r="A6" s="14" t="s">
        <v>50</v>
      </c>
      <c r="B6" t="s">
        <v>19</v>
      </c>
      <c r="E6">
        <v>2040</v>
      </c>
      <c r="F6" t="s">
        <v>46</v>
      </c>
      <c r="G6">
        <v>0.85</v>
      </c>
    </row>
    <row r="7" spans="1:7" x14ac:dyDescent="0.3">
      <c r="A7" s="14" t="s">
        <v>50</v>
      </c>
      <c r="B7" t="s">
        <v>21</v>
      </c>
      <c r="E7">
        <v>2040</v>
      </c>
      <c r="F7" t="s">
        <v>46</v>
      </c>
      <c r="G7">
        <v>0.85</v>
      </c>
    </row>
    <row r="8" spans="1:7" x14ac:dyDescent="0.3">
      <c r="A8" s="14" t="s">
        <v>50</v>
      </c>
      <c r="B8" t="s">
        <v>19</v>
      </c>
      <c r="E8">
        <v>2040</v>
      </c>
      <c r="F8" t="s">
        <v>40</v>
      </c>
      <c r="G8">
        <f>G20*$G$6/$G$18</f>
        <v>50.306400000000004</v>
      </c>
    </row>
    <row r="9" spans="1:7" x14ac:dyDescent="0.3">
      <c r="A9" s="14" t="s">
        <v>50</v>
      </c>
      <c r="B9" t="s">
        <v>21</v>
      </c>
      <c r="E9">
        <v>2040</v>
      </c>
      <c r="F9" t="s">
        <v>40</v>
      </c>
      <c r="G9">
        <f t="shared" ref="G9:G11" si="0">G21*$G$6/$G$18</f>
        <v>34.018457142857145</v>
      </c>
    </row>
    <row r="10" spans="1:7" x14ac:dyDescent="0.3">
      <c r="A10" s="14" t="s">
        <v>50</v>
      </c>
      <c r="B10" t="s">
        <v>19</v>
      </c>
      <c r="E10">
        <v>2050</v>
      </c>
      <c r="F10" t="s">
        <v>40</v>
      </c>
      <c r="G10">
        <f t="shared" si="0"/>
        <v>37.729800000000004</v>
      </c>
    </row>
    <row r="11" spans="1:7" x14ac:dyDescent="0.3">
      <c r="A11" s="14" t="s">
        <v>50</v>
      </c>
      <c r="B11" t="s">
        <v>21</v>
      </c>
      <c r="E11">
        <v>2050</v>
      </c>
      <c r="F11" t="s">
        <v>40</v>
      </c>
      <c r="G11">
        <f t="shared" si="0"/>
        <v>25.513842857142858</v>
      </c>
    </row>
    <row r="12" spans="1:7" x14ac:dyDescent="0.3">
      <c r="A12" s="14" t="s">
        <v>50</v>
      </c>
      <c r="B12" t="s">
        <v>19</v>
      </c>
      <c r="E12">
        <v>2040</v>
      </c>
      <c r="F12" t="s">
        <v>45</v>
      </c>
      <c r="G12">
        <f>0.07*G8</f>
        <v>3.5214480000000008</v>
      </c>
    </row>
    <row r="13" spans="1:7" x14ac:dyDescent="0.3">
      <c r="A13" s="14" t="s">
        <v>50</v>
      </c>
      <c r="B13" t="s">
        <v>21</v>
      </c>
      <c r="E13">
        <v>2040</v>
      </c>
      <c r="F13" t="s">
        <v>45</v>
      </c>
      <c r="G13">
        <f>0.07*G9</f>
        <v>2.3812920000000002</v>
      </c>
    </row>
    <row r="14" spans="1:7" x14ac:dyDescent="0.3">
      <c r="A14" s="14" t="s">
        <v>50</v>
      </c>
      <c r="B14" t="s">
        <v>19</v>
      </c>
      <c r="E14">
        <v>2040</v>
      </c>
      <c r="F14" t="s">
        <v>47</v>
      </c>
      <c r="G14">
        <f>4.42-0.96</f>
        <v>3.46</v>
      </c>
    </row>
    <row r="15" spans="1:7" x14ac:dyDescent="0.3">
      <c r="A15" s="14" t="s">
        <v>50</v>
      </c>
      <c r="B15" t="s">
        <v>21</v>
      </c>
      <c r="E15">
        <v>2040</v>
      </c>
      <c r="F15" t="s">
        <v>47</v>
      </c>
      <c r="G15">
        <f t="shared" ref="G15" si="1">4.42-0.96</f>
        <v>3.46</v>
      </c>
    </row>
    <row r="16" spans="1:7" x14ac:dyDescent="0.3">
      <c r="A16" s="14" t="s">
        <v>50</v>
      </c>
      <c r="B16" t="s">
        <v>19</v>
      </c>
      <c r="E16">
        <v>2040</v>
      </c>
      <c r="F16" t="s">
        <v>48</v>
      </c>
      <c r="G16">
        <f>7/47.7</f>
        <v>0.14675052410901468</v>
      </c>
    </row>
    <row r="17" spans="1:7" x14ac:dyDescent="0.3">
      <c r="A17" s="14" t="s">
        <v>50</v>
      </c>
      <c r="B17" t="s">
        <v>21</v>
      </c>
      <c r="E17">
        <v>2040</v>
      </c>
      <c r="F17" t="s">
        <v>48</v>
      </c>
      <c r="G17">
        <f t="shared" ref="G17" si="2">7/47.7</f>
        <v>0.14675052410901468</v>
      </c>
    </row>
    <row r="18" spans="1:7" x14ac:dyDescent="0.3">
      <c r="A18" s="14" t="s">
        <v>51</v>
      </c>
      <c r="B18" t="s">
        <v>19</v>
      </c>
      <c r="E18">
        <v>2030</v>
      </c>
      <c r="F18" t="s">
        <v>46</v>
      </c>
      <c r="G18">
        <v>0.52</v>
      </c>
    </row>
    <row r="19" spans="1:7" x14ac:dyDescent="0.3">
      <c r="A19" s="14" t="s">
        <v>51</v>
      </c>
      <c r="B19" t="s">
        <v>21</v>
      </c>
      <c r="E19">
        <v>2030</v>
      </c>
      <c r="F19" t="s">
        <v>46</v>
      </c>
      <c r="G19">
        <v>0.52</v>
      </c>
    </row>
    <row r="20" spans="1:7" x14ac:dyDescent="0.3">
      <c r="A20" s="14" t="s">
        <v>51</v>
      </c>
      <c r="B20" t="s">
        <v>19</v>
      </c>
      <c r="E20">
        <v>2030</v>
      </c>
      <c r="F20" t="s">
        <v>40</v>
      </c>
      <c r="G20">
        <f>(40)*TECHNOLOGIES_RESOURCES!Z14*TECHNOLOGIES_RESOURCES!L58*-1*G18</f>
        <v>30.775680000000001</v>
      </c>
    </row>
    <row r="21" spans="1:7" x14ac:dyDescent="0.3">
      <c r="A21" s="14" t="s">
        <v>51</v>
      </c>
      <c r="B21" t="s">
        <v>21</v>
      </c>
      <c r="E21">
        <v>2030</v>
      </c>
      <c r="F21" t="s">
        <v>40</v>
      </c>
      <c r="G21">
        <f>(40)*TECHNOLOGIES_RESOURCES!Z15*TECHNOLOGIES_RESOURCES!L58*-1*G19</f>
        <v>20.81129142857143</v>
      </c>
    </row>
    <row r="22" spans="1:7" x14ac:dyDescent="0.3">
      <c r="A22" s="14" t="s">
        <v>51</v>
      </c>
      <c r="B22" t="s">
        <v>19</v>
      </c>
      <c r="E22">
        <v>2050</v>
      </c>
      <c r="F22" t="s">
        <v>40</v>
      </c>
      <c r="G22">
        <f>(30)*TECHNOLOGIES_RESOURCES!Z14*TECHNOLOGIES_RESOURCES!L58*-1*G18</f>
        <v>23.081760000000003</v>
      </c>
    </row>
    <row r="23" spans="1:7" x14ac:dyDescent="0.3">
      <c r="A23" s="14" t="s">
        <v>51</v>
      </c>
      <c r="B23" t="s">
        <v>21</v>
      </c>
      <c r="E23">
        <v>2050</v>
      </c>
      <c r="F23" t="s">
        <v>40</v>
      </c>
      <c r="G23">
        <f>(30)*TECHNOLOGIES_RESOURCES!Z15*TECHNOLOGIES_RESOURCES!L58*-1*G19</f>
        <v>15.608468571428572</v>
      </c>
    </row>
    <row r="24" spans="1:7" x14ac:dyDescent="0.3">
      <c r="A24" s="14" t="s">
        <v>51</v>
      </c>
      <c r="B24" t="s">
        <v>19</v>
      </c>
      <c r="E24">
        <v>2030</v>
      </c>
      <c r="F24" t="s">
        <v>45</v>
      </c>
      <c r="G24">
        <f>G20*0.07</f>
        <v>2.1542976000000005</v>
      </c>
    </row>
    <row r="25" spans="1:7" x14ac:dyDescent="0.3">
      <c r="A25" s="14" t="s">
        <v>51</v>
      </c>
      <c r="B25" t="s">
        <v>21</v>
      </c>
      <c r="E25">
        <v>2030</v>
      </c>
      <c r="F25" t="s">
        <v>45</v>
      </c>
      <c r="G25">
        <f>G21*0.07</f>
        <v>1.4567904000000003</v>
      </c>
    </row>
    <row r="26" spans="1:7" x14ac:dyDescent="0.3">
      <c r="A26" s="14" t="s">
        <v>51</v>
      </c>
      <c r="B26" t="s">
        <v>19</v>
      </c>
      <c r="E26">
        <v>2030</v>
      </c>
      <c r="F26" t="s">
        <v>47</v>
      </c>
      <c r="G26">
        <f>1.32-0.96</f>
        <v>0.3600000000000001</v>
      </c>
    </row>
    <row r="27" spans="1:7" x14ac:dyDescent="0.3">
      <c r="A27" s="14" t="s">
        <v>51</v>
      </c>
      <c r="B27" t="s">
        <v>21</v>
      </c>
      <c r="E27">
        <v>2030</v>
      </c>
      <c r="F27" t="s">
        <v>47</v>
      </c>
      <c r="G27">
        <f t="shared" ref="G27" si="3">1.32-0.96</f>
        <v>0.3600000000000001</v>
      </c>
    </row>
    <row r="28" spans="1:7" x14ac:dyDescent="0.3">
      <c r="A28" s="14" t="s">
        <v>51</v>
      </c>
      <c r="B28" t="s">
        <v>19</v>
      </c>
      <c r="E28">
        <v>2030</v>
      </c>
      <c r="F28" t="s">
        <v>48</v>
      </c>
      <c r="G28">
        <f>4/47.7</f>
        <v>8.3857442348008376E-2</v>
      </c>
    </row>
    <row r="29" spans="1:7" x14ac:dyDescent="0.3">
      <c r="A29" s="14" t="s">
        <v>51</v>
      </c>
      <c r="B29" t="s">
        <v>21</v>
      </c>
      <c r="E29">
        <v>2030</v>
      </c>
      <c r="F29" t="s">
        <v>48</v>
      </c>
      <c r="G29">
        <f t="shared" ref="G29" si="4">4/47.7</f>
        <v>8.3857442348008376E-2</v>
      </c>
    </row>
    <row r="30" spans="1:7" x14ac:dyDescent="0.3">
      <c r="A30" s="15" t="s">
        <v>82</v>
      </c>
      <c r="B30" t="s">
        <v>138</v>
      </c>
      <c r="C30" t="s">
        <v>67</v>
      </c>
      <c r="E30">
        <v>2030</v>
      </c>
      <c r="F30" t="s">
        <v>46</v>
      </c>
      <c r="G30">
        <v>0.62</v>
      </c>
    </row>
    <row r="31" spans="1:7" x14ac:dyDescent="0.3">
      <c r="A31" s="15" t="s">
        <v>82</v>
      </c>
      <c r="B31" t="s">
        <v>138</v>
      </c>
      <c r="C31" t="s">
        <v>67</v>
      </c>
      <c r="E31">
        <v>2030</v>
      </c>
      <c r="F31" t="s">
        <v>40</v>
      </c>
      <c r="G31">
        <f>(150)*-1*TECHNOLOGIES_RESOURCES!Z27*G30</f>
        <v>11.718032810491872</v>
      </c>
    </row>
    <row r="32" spans="1:7" x14ac:dyDescent="0.3">
      <c r="A32" s="15" t="s">
        <v>82</v>
      </c>
      <c r="B32" t="s">
        <v>138</v>
      </c>
      <c r="C32" t="s">
        <v>67</v>
      </c>
      <c r="E32">
        <v>2050</v>
      </c>
      <c r="F32" t="s">
        <v>40</v>
      </c>
      <c r="G32">
        <f>(111)*-1*TECHNOLOGIES_RESOURCES!Z27*G30</f>
        <v>8.6713442797639857</v>
      </c>
    </row>
    <row r="33" spans="1:7" x14ac:dyDescent="0.3">
      <c r="A33" s="15" t="s">
        <v>82</v>
      </c>
      <c r="B33" t="s">
        <v>138</v>
      </c>
      <c r="C33" t="s">
        <v>67</v>
      </c>
      <c r="E33">
        <v>2030</v>
      </c>
      <c r="F33" t="s">
        <v>45</v>
      </c>
      <c r="G33">
        <f>0.12*G31</f>
        <v>1.4061639372590247</v>
      </c>
    </row>
    <row r="34" spans="1:7" x14ac:dyDescent="0.3">
      <c r="A34" s="15" t="s">
        <v>82</v>
      </c>
      <c r="B34" t="s">
        <v>138</v>
      </c>
      <c r="C34" t="s">
        <v>67</v>
      </c>
      <c r="E34">
        <v>2030</v>
      </c>
      <c r="F34" t="s">
        <v>47</v>
      </c>
      <c r="G34">
        <v>0.189</v>
      </c>
    </row>
    <row r="35" spans="1:7" x14ac:dyDescent="0.3">
      <c r="A35" s="15" t="s">
        <v>82</v>
      </c>
      <c r="B35" t="s">
        <v>139</v>
      </c>
      <c r="C35" t="s">
        <v>67</v>
      </c>
      <c r="E35">
        <v>2030</v>
      </c>
      <c r="F35" t="s">
        <v>46</v>
      </c>
      <c r="G35">
        <v>0.62</v>
      </c>
    </row>
    <row r="36" spans="1:7" x14ac:dyDescent="0.3">
      <c r="A36" s="15" t="s">
        <v>82</v>
      </c>
      <c r="B36" t="s">
        <v>139</v>
      </c>
      <c r="C36" t="s">
        <v>67</v>
      </c>
      <c r="E36">
        <v>2030</v>
      </c>
      <c r="F36" t="s">
        <v>40</v>
      </c>
      <c r="G36">
        <f>(150)*-1*TECHNOLOGIES_RESOURCES!Z28*G35</f>
        <v>11.249585268745852</v>
      </c>
    </row>
    <row r="37" spans="1:7" x14ac:dyDescent="0.3">
      <c r="A37" s="15" t="s">
        <v>82</v>
      </c>
      <c r="B37" t="s">
        <v>139</v>
      </c>
      <c r="C37" t="s">
        <v>67</v>
      </c>
      <c r="E37">
        <v>2050</v>
      </c>
      <c r="F37" t="s">
        <v>40</v>
      </c>
      <c r="G37">
        <f>(111)*-1*TECHNOLOGIES_RESOURCES!Z28*G35</f>
        <v>8.324693098871931</v>
      </c>
    </row>
    <row r="38" spans="1:7" x14ac:dyDescent="0.3">
      <c r="A38" s="15" t="s">
        <v>82</v>
      </c>
      <c r="B38" t="s">
        <v>139</v>
      </c>
      <c r="C38" t="s">
        <v>67</v>
      </c>
      <c r="E38">
        <v>2030</v>
      </c>
      <c r="F38" t="s">
        <v>45</v>
      </c>
      <c r="G38">
        <f>0.12*G36</f>
        <v>1.3499502322495023</v>
      </c>
    </row>
    <row r="39" spans="1:7" x14ac:dyDescent="0.3">
      <c r="A39" s="15" t="s">
        <v>82</v>
      </c>
      <c r="B39" t="s">
        <v>139</v>
      </c>
      <c r="C39" t="s">
        <v>67</v>
      </c>
      <c r="E39">
        <v>2030</v>
      </c>
      <c r="F39" t="s">
        <v>47</v>
      </c>
      <c r="G39">
        <v>0.189</v>
      </c>
    </row>
    <row r="40" spans="1:7" x14ac:dyDescent="0.3">
      <c r="A40" s="15" t="s">
        <v>82</v>
      </c>
      <c r="B40" t="s">
        <v>140</v>
      </c>
      <c r="C40" t="s">
        <v>67</v>
      </c>
      <c r="E40">
        <v>2030</v>
      </c>
      <c r="F40" t="s">
        <v>46</v>
      </c>
      <c r="G40">
        <v>0.62</v>
      </c>
    </row>
    <row r="41" spans="1:7" x14ac:dyDescent="0.3">
      <c r="A41" s="15" t="s">
        <v>82</v>
      </c>
      <c r="B41" t="s">
        <v>140</v>
      </c>
      <c r="C41" t="s">
        <v>67</v>
      </c>
      <c r="E41">
        <v>2030</v>
      </c>
      <c r="F41" t="s">
        <v>40</v>
      </c>
      <c r="G41">
        <f>(150)*-1*TECHNOLOGIES_RESOURCES!Z29*G40</f>
        <v>30.844172669326834</v>
      </c>
    </row>
    <row r="42" spans="1:7" x14ac:dyDescent="0.3">
      <c r="A42" s="15" t="s">
        <v>82</v>
      </c>
      <c r="B42" t="s">
        <v>140</v>
      </c>
      <c r="C42" t="s">
        <v>67</v>
      </c>
      <c r="E42">
        <v>2050</v>
      </c>
      <c r="F42" t="s">
        <v>40</v>
      </c>
      <c r="G42">
        <f>(111)*-1*TECHNOLOGIES_RESOURCES!Z29*G40</f>
        <v>22.824687775301861</v>
      </c>
    </row>
    <row r="43" spans="1:7" x14ac:dyDescent="0.3">
      <c r="A43" s="15" t="s">
        <v>82</v>
      </c>
      <c r="B43" t="s">
        <v>140</v>
      </c>
      <c r="C43" t="s">
        <v>67</v>
      </c>
      <c r="E43">
        <v>2030</v>
      </c>
      <c r="F43" t="s">
        <v>45</v>
      </c>
      <c r="G43">
        <f>0.12*G41</f>
        <v>3.7013007203192201</v>
      </c>
    </row>
    <row r="44" spans="1:7" x14ac:dyDescent="0.3">
      <c r="A44" s="15" t="s">
        <v>82</v>
      </c>
      <c r="B44" t="s">
        <v>140</v>
      </c>
      <c r="C44" t="s">
        <v>67</v>
      </c>
      <c r="E44">
        <v>2030</v>
      </c>
      <c r="F44" t="s">
        <v>47</v>
      </c>
      <c r="G44">
        <v>0.189</v>
      </c>
    </row>
    <row r="45" spans="1:7" x14ac:dyDescent="0.3">
      <c r="A45" s="15" t="s">
        <v>82</v>
      </c>
      <c r="B45" t="s">
        <v>141</v>
      </c>
      <c r="C45" t="s">
        <v>67</v>
      </c>
      <c r="E45">
        <v>2030</v>
      </c>
      <c r="F45" t="s">
        <v>46</v>
      </c>
      <c r="G45">
        <v>0.62</v>
      </c>
    </row>
    <row r="46" spans="1:7" x14ac:dyDescent="0.3">
      <c r="A46" s="15" t="s">
        <v>82</v>
      </c>
      <c r="B46" t="s">
        <v>141</v>
      </c>
      <c r="C46" t="s">
        <v>67</v>
      </c>
      <c r="E46">
        <v>2030</v>
      </c>
      <c r="F46" t="s">
        <v>40</v>
      </c>
      <c r="G46">
        <f>(150)*-1*TECHNOLOGIES_RESOURCES!Z30*G45</f>
        <v>18.082961255941235</v>
      </c>
    </row>
    <row r="47" spans="1:7" x14ac:dyDescent="0.3">
      <c r="A47" s="15" t="s">
        <v>82</v>
      </c>
      <c r="B47" t="s">
        <v>141</v>
      </c>
      <c r="C47" t="s">
        <v>67</v>
      </c>
      <c r="E47">
        <v>2050</v>
      </c>
      <c r="F47" t="s">
        <v>40</v>
      </c>
      <c r="G47">
        <f>(111)*-1*TECHNOLOGIES_RESOURCES!Z30*G45</f>
        <v>13.381391329396514</v>
      </c>
    </row>
    <row r="48" spans="1:7" x14ac:dyDescent="0.3">
      <c r="A48" s="15" t="s">
        <v>82</v>
      </c>
      <c r="B48" t="s">
        <v>141</v>
      </c>
      <c r="C48" t="s">
        <v>67</v>
      </c>
      <c r="E48">
        <v>2030</v>
      </c>
      <c r="F48" t="s">
        <v>45</v>
      </c>
      <c r="G48">
        <f>0.12*G46</f>
        <v>2.1699553507129483</v>
      </c>
    </row>
    <row r="49" spans="1:7" x14ac:dyDescent="0.3">
      <c r="A49" s="15" t="s">
        <v>82</v>
      </c>
      <c r="B49" t="s">
        <v>141</v>
      </c>
      <c r="C49" t="s">
        <v>67</v>
      </c>
      <c r="E49">
        <v>2030</v>
      </c>
      <c r="F49" t="s">
        <v>47</v>
      </c>
      <c r="G49">
        <v>0.189</v>
      </c>
    </row>
    <row r="50" spans="1:7" x14ac:dyDescent="0.3">
      <c r="A50" s="15" t="s">
        <v>83</v>
      </c>
      <c r="B50" t="s">
        <v>138</v>
      </c>
      <c r="C50" t="s">
        <v>67</v>
      </c>
      <c r="E50">
        <v>2040</v>
      </c>
      <c r="F50" t="s">
        <v>46</v>
      </c>
      <c r="G50">
        <v>0.93</v>
      </c>
    </row>
    <row r="51" spans="1:7" x14ac:dyDescent="0.3">
      <c r="A51" s="15" t="s">
        <v>83</v>
      </c>
      <c r="B51" t="s">
        <v>138</v>
      </c>
      <c r="C51" t="s">
        <v>67</v>
      </c>
      <c r="E51">
        <v>2040</v>
      </c>
      <c r="F51" t="s">
        <v>40</v>
      </c>
      <c r="G51">
        <f>(150)*-1*TECHNOLOGIES_RESOURCES!Z27*G50</f>
        <v>17.577049215737809</v>
      </c>
    </row>
    <row r="52" spans="1:7" x14ac:dyDescent="0.3">
      <c r="A52" s="15" t="s">
        <v>83</v>
      </c>
      <c r="B52" t="s">
        <v>138</v>
      </c>
      <c r="C52" t="s">
        <v>67</v>
      </c>
      <c r="E52">
        <v>2050</v>
      </c>
      <c r="F52" t="s">
        <v>40</v>
      </c>
      <c r="G52">
        <f>(111)*-1*TECHNOLOGIES_RESOURCES!Z27*G50</f>
        <v>13.007016419645979</v>
      </c>
    </row>
    <row r="53" spans="1:7" x14ac:dyDescent="0.3">
      <c r="A53" s="15" t="s">
        <v>83</v>
      </c>
      <c r="B53" t="s">
        <v>138</v>
      </c>
      <c r="C53" t="s">
        <v>67</v>
      </c>
      <c r="E53">
        <v>2040</v>
      </c>
      <c r="F53" t="s">
        <v>45</v>
      </c>
      <c r="G53">
        <f>0.12*G51</f>
        <v>2.1092459058885371</v>
      </c>
    </row>
    <row r="54" spans="1:7" x14ac:dyDescent="0.3">
      <c r="A54" s="15" t="s">
        <v>83</v>
      </c>
      <c r="B54" t="s">
        <v>138</v>
      </c>
      <c r="C54" t="s">
        <v>67</v>
      </c>
      <c r="E54">
        <v>2040</v>
      </c>
      <c r="F54" t="s">
        <v>47</v>
      </c>
      <c r="G54">
        <v>0.255</v>
      </c>
    </row>
    <row r="55" spans="1:7" x14ac:dyDescent="0.3">
      <c r="A55" s="15" t="s">
        <v>83</v>
      </c>
      <c r="B55" t="s">
        <v>139</v>
      </c>
      <c r="C55" t="s">
        <v>67</v>
      </c>
      <c r="E55">
        <v>2040</v>
      </c>
      <c r="F55" t="s">
        <v>46</v>
      </c>
      <c r="G55">
        <v>0.93</v>
      </c>
    </row>
    <row r="56" spans="1:7" x14ac:dyDescent="0.3">
      <c r="A56" s="15" t="s">
        <v>83</v>
      </c>
      <c r="B56" t="s">
        <v>139</v>
      </c>
      <c r="C56" t="s">
        <v>67</v>
      </c>
      <c r="E56">
        <v>2040</v>
      </c>
      <c r="F56" t="s">
        <v>40</v>
      </c>
      <c r="G56">
        <f>(150)*-1*TECHNOLOGIES_RESOURCES!Z28*G55</f>
        <v>16.874377903118781</v>
      </c>
    </row>
    <row r="57" spans="1:7" x14ac:dyDescent="0.3">
      <c r="A57" s="15" t="s">
        <v>83</v>
      </c>
      <c r="B57" t="s">
        <v>139</v>
      </c>
      <c r="C57" t="s">
        <v>67</v>
      </c>
      <c r="E57">
        <v>2050</v>
      </c>
      <c r="F57" t="s">
        <v>40</v>
      </c>
      <c r="G57">
        <f>(111)*-1*TECHNOLOGIES_RESOURCES!Z28*G55</f>
        <v>12.487039648307897</v>
      </c>
    </row>
    <row r="58" spans="1:7" x14ac:dyDescent="0.3">
      <c r="A58" s="15" t="s">
        <v>83</v>
      </c>
      <c r="B58" t="s">
        <v>139</v>
      </c>
      <c r="C58" t="s">
        <v>67</v>
      </c>
      <c r="E58">
        <v>2040</v>
      </c>
      <c r="F58" t="s">
        <v>45</v>
      </c>
      <c r="G58">
        <f>0.12*G56</f>
        <v>2.0249253483742535</v>
      </c>
    </row>
    <row r="59" spans="1:7" x14ac:dyDescent="0.3">
      <c r="A59" s="15" t="s">
        <v>83</v>
      </c>
      <c r="B59" t="s">
        <v>139</v>
      </c>
      <c r="C59" t="s">
        <v>67</v>
      </c>
      <c r="E59">
        <v>2040</v>
      </c>
      <c r="F59" t="s">
        <v>47</v>
      </c>
      <c r="G59">
        <v>0.255</v>
      </c>
    </row>
    <row r="60" spans="1:7" x14ac:dyDescent="0.3">
      <c r="A60" s="15" t="s">
        <v>83</v>
      </c>
      <c r="B60" t="s">
        <v>140</v>
      </c>
      <c r="C60" t="s">
        <v>67</v>
      </c>
      <c r="E60">
        <v>2040</v>
      </c>
      <c r="F60" t="s">
        <v>46</v>
      </c>
      <c r="G60">
        <v>0.93</v>
      </c>
    </row>
    <row r="61" spans="1:7" x14ac:dyDescent="0.3">
      <c r="A61" s="15" t="s">
        <v>83</v>
      </c>
      <c r="B61" t="s">
        <v>140</v>
      </c>
      <c r="C61" t="s">
        <v>67</v>
      </c>
      <c r="E61">
        <v>2040</v>
      </c>
      <c r="F61" t="s">
        <v>40</v>
      </c>
      <c r="G61">
        <f>(150)*-1*TECHNOLOGIES_RESOURCES!Z29*G60</f>
        <v>46.266259003990257</v>
      </c>
    </row>
    <row r="62" spans="1:7" x14ac:dyDescent="0.3">
      <c r="A62" s="15" t="s">
        <v>83</v>
      </c>
      <c r="B62" t="s">
        <v>140</v>
      </c>
      <c r="C62" t="s">
        <v>67</v>
      </c>
      <c r="E62">
        <v>2050</v>
      </c>
      <c r="F62" t="s">
        <v>40</v>
      </c>
      <c r="G62">
        <f>(111)*-1*TECHNOLOGIES_RESOURCES!Z29*G60</f>
        <v>34.237031662952788</v>
      </c>
    </row>
    <row r="63" spans="1:7" x14ac:dyDescent="0.3">
      <c r="A63" s="15" t="s">
        <v>83</v>
      </c>
      <c r="B63" t="s">
        <v>140</v>
      </c>
      <c r="C63" t="s">
        <v>67</v>
      </c>
      <c r="E63">
        <v>2040</v>
      </c>
      <c r="F63" t="s">
        <v>45</v>
      </c>
      <c r="G63">
        <f>0.12*G61</f>
        <v>5.5519510804788306</v>
      </c>
    </row>
    <row r="64" spans="1:7" x14ac:dyDescent="0.3">
      <c r="A64" s="15" t="s">
        <v>83</v>
      </c>
      <c r="B64" t="s">
        <v>140</v>
      </c>
      <c r="C64" t="s">
        <v>67</v>
      </c>
      <c r="E64">
        <v>2040</v>
      </c>
      <c r="F64" t="s">
        <v>47</v>
      </c>
      <c r="G64">
        <v>0.255</v>
      </c>
    </row>
    <row r="65" spans="1:7" x14ac:dyDescent="0.3">
      <c r="A65" s="15" t="s">
        <v>83</v>
      </c>
      <c r="B65" t="s">
        <v>141</v>
      </c>
      <c r="C65" t="s">
        <v>67</v>
      </c>
      <c r="E65">
        <v>2040</v>
      </c>
      <c r="F65" t="s">
        <v>46</v>
      </c>
      <c r="G65">
        <v>0.93</v>
      </c>
    </row>
    <row r="66" spans="1:7" x14ac:dyDescent="0.3">
      <c r="A66" s="15" t="s">
        <v>83</v>
      </c>
      <c r="B66" t="s">
        <v>141</v>
      </c>
      <c r="C66" t="s">
        <v>67</v>
      </c>
      <c r="E66">
        <v>2040</v>
      </c>
      <c r="F66" t="s">
        <v>40</v>
      </c>
      <c r="G66">
        <f>(150)*-1*TECHNOLOGIES_RESOURCES!Z30*G65</f>
        <v>27.124441883911857</v>
      </c>
    </row>
    <row r="67" spans="1:7" x14ac:dyDescent="0.3">
      <c r="A67" s="15" t="s">
        <v>83</v>
      </c>
      <c r="B67" t="s">
        <v>141</v>
      </c>
      <c r="C67" t="s">
        <v>67</v>
      </c>
      <c r="E67">
        <v>2050</v>
      </c>
      <c r="F67" t="s">
        <v>40</v>
      </c>
      <c r="G67">
        <f>(111)*-1*TECHNOLOGIES_RESOURCES!Z30*G65</f>
        <v>20.072086994094775</v>
      </c>
    </row>
    <row r="68" spans="1:7" x14ac:dyDescent="0.3">
      <c r="A68" s="15" t="s">
        <v>83</v>
      </c>
      <c r="B68" t="s">
        <v>141</v>
      </c>
      <c r="C68" t="s">
        <v>67</v>
      </c>
      <c r="E68">
        <v>2040</v>
      </c>
      <c r="F68" t="s">
        <v>45</v>
      </c>
      <c r="G68">
        <f>0.12*G66</f>
        <v>3.2549330260694225</v>
      </c>
    </row>
    <row r="69" spans="1:7" x14ac:dyDescent="0.3">
      <c r="A69" s="15" t="s">
        <v>83</v>
      </c>
      <c r="B69" t="s">
        <v>141</v>
      </c>
      <c r="C69" t="s">
        <v>67</v>
      </c>
      <c r="E69">
        <v>2040</v>
      </c>
      <c r="F69" t="s">
        <v>47</v>
      </c>
      <c r="G69">
        <v>0.255</v>
      </c>
    </row>
    <row r="70" spans="1:7" x14ac:dyDescent="0.3">
      <c r="A70" s="15" t="s">
        <v>82</v>
      </c>
      <c r="B70" t="s">
        <v>68</v>
      </c>
      <c r="C70" t="s">
        <v>67</v>
      </c>
      <c r="E70">
        <v>2030</v>
      </c>
      <c r="F70" t="s">
        <v>46</v>
      </c>
      <c r="G70">
        <v>0.62</v>
      </c>
    </row>
    <row r="71" spans="1:7" x14ac:dyDescent="0.3">
      <c r="A71" s="15" t="s">
        <v>82</v>
      </c>
      <c r="B71" t="s">
        <v>68</v>
      </c>
      <c r="C71" t="s">
        <v>67</v>
      </c>
      <c r="E71">
        <v>2030</v>
      </c>
      <c r="F71" t="s">
        <v>40</v>
      </c>
      <c r="G71">
        <f>(150)*-1*TECHNOLOGIES_RESOURCES!Z20*G70</f>
        <v>51.801000000000009</v>
      </c>
    </row>
    <row r="72" spans="1:7" x14ac:dyDescent="0.3">
      <c r="A72" s="15" t="s">
        <v>82</v>
      </c>
      <c r="B72" t="s">
        <v>68</v>
      </c>
      <c r="C72" t="s">
        <v>67</v>
      </c>
      <c r="E72">
        <v>2050</v>
      </c>
      <c r="F72" t="s">
        <v>40</v>
      </c>
      <c r="G72">
        <f>(111)*-1*TECHNOLOGIES_RESOURCES!Z20*G70</f>
        <v>38.332740000000001</v>
      </c>
    </row>
    <row r="73" spans="1:7" x14ac:dyDescent="0.3">
      <c r="A73" s="15" t="s">
        <v>82</v>
      </c>
      <c r="B73" t="s">
        <v>68</v>
      </c>
      <c r="C73" t="s">
        <v>67</v>
      </c>
      <c r="E73">
        <v>2030</v>
      </c>
      <c r="F73" t="s">
        <v>45</v>
      </c>
      <c r="G73">
        <f>0.12*G71</f>
        <v>6.216120000000001</v>
      </c>
    </row>
    <row r="74" spans="1:7" x14ac:dyDescent="0.3">
      <c r="A74" s="15" t="s">
        <v>82</v>
      </c>
      <c r="B74" t="s">
        <v>68</v>
      </c>
      <c r="C74" t="s">
        <v>67</v>
      </c>
      <c r="E74">
        <v>2030</v>
      </c>
      <c r="F74" t="s">
        <v>47</v>
      </c>
      <c r="G74">
        <v>0.189</v>
      </c>
    </row>
    <row r="75" spans="1:7" x14ac:dyDescent="0.3">
      <c r="A75" s="15" t="s">
        <v>82</v>
      </c>
      <c r="B75" t="s">
        <v>69</v>
      </c>
      <c r="C75" t="s">
        <v>67</v>
      </c>
      <c r="E75">
        <v>2030</v>
      </c>
      <c r="F75" t="s">
        <v>46</v>
      </c>
      <c r="G75">
        <v>0.62</v>
      </c>
    </row>
    <row r="76" spans="1:7" x14ac:dyDescent="0.3">
      <c r="A76" s="15" t="s">
        <v>82</v>
      </c>
      <c r="B76" t="s">
        <v>69</v>
      </c>
      <c r="C76" t="s">
        <v>67</v>
      </c>
      <c r="E76">
        <v>2030</v>
      </c>
      <c r="F76" t="s">
        <v>40</v>
      </c>
      <c r="G76">
        <f>(150)*-1*TECHNOLOGIES_RESOURCES!Z23*G75</f>
        <v>51.801000000000009</v>
      </c>
    </row>
    <row r="77" spans="1:7" x14ac:dyDescent="0.3">
      <c r="A77" s="15" t="s">
        <v>82</v>
      </c>
      <c r="B77" t="s">
        <v>69</v>
      </c>
      <c r="C77" t="s">
        <v>67</v>
      </c>
      <c r="E77">
        <v>2050</v>
      </c>
      <c r="F77" t="s">
        <v>40</v>
      </c>
      <c r="G77">
        <f>(111)*-1*TECHNOLOGIES_RESOURCES!Z23*G75</f>
        <v>38.332740000000001</v>
      </c>
    </row>
    <row r="78" spans="1:7" x14ac:dyDescent="0.3">
      <c r="A78" s="15" t="s">
        <v>82</v>
      </c>
      <c r="B78" t="s">
        <v>69</v>
      </c>
      <c r="C78" t="s">
        <v>67</v>
      </c>
      <c r="E78">
        <v>2030</v>
      </c>
      <c r="F78" t="s">
        <v>45</v>
      </c>
      <c r="G78">
        <f>0.12*G76</f>
        <v>6.216120000000001</v>
      </c>
    </row>
    <row r="79" spans="1:7" x14ac:dyDescent="0.3">
      <c r="A79" s="15" t="s">
        <v>82</v>
      </c>
      <c r="B79" t="s">
        <v>69</v>
      </c>
      <c r="C79" t="s">
        <v>67</v>
      </c>
      <c r="E79">
        <v>2030</v>
      </c>
      <c r="F79" t="s">
        <v>47</v>
      </c>
      <c r="G79">
        <v>0.189</v>
      </c>
    </row>
    <row r="80" spans="1:7" x14ac:dyDescent="0.3">
      <c r="A80" s="15" t="s">
        <v>82</v>
      </c>
      <c r="B80" t="s">
        <v>70</v>
      </c>
      <c r="C80" t="s">
        <v>67</v>
      </c>
      <c r="E80">
        <v>2030</v>
      </c>
      <c r="F80" t="s">
        <v>46</v>
      </c>
      <c r="G80">
        <v>0.62</v>
      </c>
    </row>
    <row r="81" spans="1:7" x14ac:dyDescent="0.3">
      <c r="A81" s="15" t="s">
        <v>82</v>
      </c>
      <c r="B81" t="s">
        <v>70</v>
      </c>
      <c r="C81" t="s">
        <v>67</v>
      </c>
      <c r="E81">
        <v>2030</v>
      </c>
      <c r="F81" t="s">
        <v>40</v>
      </c>
      <c r="G81">
        <f>(150)*-1*TECHNOLOGIES_RESOURCES!Z24*G80</f>
        <v>51.801000000000009</v>
      </c>
    </row>
    <row r="82" spans="1:7" x14ac:dyDescent="0.3">
      <c r="A82" s="15" t="s">
        <v>82</v>
      </c>
      <c r="B82" t="s">
        <v>70</v>
      </c>
      <c r="C82" t="s">
        <v>67</v>
      </c>
      <c r="E82">
        <v>2050</v>
      </c>
      <c r="F82" t="s">
        <v>40</v>
      </c>
      <c r="G82">
        <f>(111)*-1*TECHNOLOGIES_RESOURCES!Z24*G80</f>
        <v>38.332740000000001</v>
      </c>
    </row>
    <row r="83" spans="1:7" x14ac:dyDescent="0.3">
      <c r="A83" s="15" t="s">
        <v>82</v>
      </c>
      <c r="B83" t="s">
        <v>70</v>
      </c>
      <c r="C83" t="s">
        <v>67</v>
      </c>
      <c r="E83">
        <v>2030</v>
      </c>
      <c r="F83" t="s">
        <v>45</v>
      </c>
      <c r="G83">
        <f>0.12*G81</f>
        <v>6.216120000000001</v>
      </c>
    </row>
    <row r="84" spans="1:7" x14ac:dyDescent="0.3">
      <c r="A84" s="15" t="s">
        <v>82</v>
      </c>
      <c r="B84" t="s">
        <v>70</v>
      </c>
      <c r="C84" t="s">
        <v>67</v>
      </c>
      <c r="E84">
        <v>2030</v>
      </c>
      <c r="F84" t="s">
        <v>47</v>
      </c>
      <c r="G84">
        <v>0.189</v>
      </c>
    </row>
    <row r="85" spans="1:7" x14ac:dyDescent="0.3">
      <c r="A85" s="15" t="s">
        <v>82</v>
      </c>
      <c r="B85" t="s">
        <v>80</v>
      </c>
      <c r="C85" t="s">
        <v>67</v>
      </c>
      <c r="E85">
        <v>2030</v>
      </c>
      <c r="F85" t="s">
        <v>46</v>
      </c>
      <c r="G85">
        <v>0.62</v>
      </c>
    </row>
    <row r="86" spans="1:7" x14ac:dyDescent="0.3">
      <c r="A86" s="15" t="s">
        <v>82</v>
      </c>
      <c r="B86" t="s">
        <v>80</v>
      </c>
      <c r="C86" t="s">
        <v>67</v>
      </c>
      <c r="E86">
        <v>2030</v>
      </c>
      <c r="F86" t="s">
        <v>40</v>
      </c>
      <c r="G86">
        <f>(150)*-1*TECHNOLOGIES_RESOURCES!Z25*G85</f>
        <v>51.801000000000009</v>
      </c>
    </row>
    <row r="87" spans="1:7" x14ac:dyDescent="0.3">
      <c r="A87" s="15" t="s">
        <v>82</v>
      </c>
      <c r="B87" t="s">
        <v>80</v>
      </c>
      <c r="C87" t="s">
        <v>67</v>
      </c>
      <c r="E87">
        <v>2050</v>
      </c>
      <c r="F87" t="s">
        <v>40</v>
      </c>
      <c r="G87">
        <f>(111)*-1*TECHNOLOGIES_RESOURCES!Z25*G85</f>
        <v>38.332740000000001</v>
      </c>
    </row>
    <row r="88" spans="1:7" x14ac:dyDescent="0.3">
      <c r="A88" s="15" t="s">
        <v>82</v>
      </c>
      <c r="B88" t="s">
        <v>80</v>
      </c>
      <c r="C88" t="s">
        <v>67</v>
      </c>
      <c r="E88">
        <v>2030</v>
      </c>
      <c r="F88" t="s">
        <v>45</v>
      </c>
      <c r="G88">
        <f>0.12*G86</f>
        <v>6.216120000000001</v>
      </c>
    </row>
    <row r="89" spans="1:7" x14ac:dyDescent="0.3">
      <c r="A89" s="15" t="s">
        <v>82</v>
      </c>
      <c r="B89" t="s">
        <v>80</v>
      </c>
      <c r="C89" t="s">
        <v>67</v>
      </c>
      <c r="E89">
        <v>2030</v>
      </c>
      <c r="F89" t="s">
        <v>47</v>
      </c>
      <c r="G89">
        <v>0.189</v>
      </c>
    </row>
    <row r="90" spans="1:7" x14ac:dyDescent="0.3">
      <c r="A90" s="15" t="s">
        <v>82</v>
      </c>
      <c r="B90" t="s">
        <v>81</v>
      </c>
      <c r="C90" t="s">
        <v>67</v>
      </c>
      <c r="E90">
        <v>2030</v>
      </c>
      <c r="F90" t="s">
        <v>46</v>
      </c>
      <c r="G90">
        <v>0.62</v>
      </c>
    </row>
    <row r="91" spans="1:7" x14ac:dyDescent="0.3">
      <c r="A91" s="15" t="s">
        <v>82</v>
      </c>
      <c r="B91" t="s">
        <v>81</v>
      </c>
      <c r="C91" t="s">
        <v>67</v>
      </c>
      <c r="E91">
        <v>2030</v>
      </c>
      <c r="F91" t="s">
        <v>40</v>
      </c>
      <c r="G91">
        <f>(150)*-1*TECHNOLOGIES_RESOURCES!Z26*G90</f>
        <v>51.801000000000009</v>
      </c>
    </row>
    <row r="92" spans="1:7" x14ac:dyDescent="0.3">
      <c r="A92" s="15" t="s">
        <v>82</v>
      </c>
      <c r="B92" t="s">
        <v>81</v>
      </c>
      <c r="C92" t="s">
        <v>67</v>
      </c>
      <c r="E92">
        <v>2050</v>
      </c>
      <c r="F92" t="s">
        <v>40</v>
      </c>
      <c r="G92">
        <f>(111)*-1*TECHNOLOGIES_RESOURCES!Z26*G90</f>
        <v>38.332740000000001</v>
      </c>
    </row>
    <row r="93" spans="1:7" x14ac:dyDescent="0.3">
      <c r="A93" s="15" t="s">
        <v>82</v>
      </c>
      <c r="B93" t="s">
        <v>81</v>
      </c>
      <c r="C93" t="s">
        <v>67</v>
      </c>
      <c r="E93">
        <v>2030</v>
      </c>
      <c r="F93" t="s">
        <v>45</v>
      </c>
      <c r="G93">
        <f>0.12*G91</f>
        <v>6.216120000000001</v>
      </c>
    </row>
    <row r="94" spans="1:7" x14ac:dyDescent="0.3">
      <c r="A94" s="15" t="s">
        <v>82</v>
      </c>
      <c r="B94" t="s">
        <v>81</v>
      </c>
      <c r="C94" t="s">
        <v>67</v>
      </c>
      <c r="E94">
        <v>2030</v>
      </c>
      <c r="F94" t="s">
        <v>47</v>
      </c>
      <c r="G94">
        <v>0.189</v>
      </c>
    </row>
    <row r="95" spans="1:7" x14ac:dyDescent="0.3">
      <c r="A95" s="15" t="s">
        <v>82</v>
      </c>
      <c r="B95" t="s">
        <v>186</v>
      </c>
      <c r="C95" t="s">
        <v>67</v>
      </c>
      <c r="E95">
        <v>2030</v>
      </c>
      <c r="F95" t="s">
        <v>46</v>
      </c>
      <c r="G95">
        <v>0.62</v>
      </c>
    </row>
    <row r="96" spans="1:7" x14ac:dyDescent="0.3">
      <c r="A96" s="15" t="s">
        <v>82</v>
      </c>
      <c r="B96" t="s">
        <v>186</v>
      </c>
      <c r="C96" t="s">
        <v>67</v>
      </c>
      <c r="E96">
        <v>2030</v>
      </c>
      <c r="F96" t="s">
        <v>40</v>
      </c>
      <c r="G96">
        <f>(150)*-1*TECHNOLOGIES_RESOURCES!Z23*G95</f>
        <v>51.801000000000009</v>
      </c>
    </row>
    <row r="97" spans="1:7" x14ac:dyDescent="0.3">
      <c r="A97" s="15" t="s">
        <v>82</v>
      </c>
      <c r="B97" t="s">
        <v>186</v>
      </c>
      <c r="C97" t="s">
        <v>67</v>
      </c>
      <c r="E97">
        <v>2050</v>
      </c>
      <c r="F97" t="s">
        <v>40</v>
      </c>
      <c r="G97">
        <f>(111)*-1*TECHNOLOGIES_RESOURCES!Z23*G95</f>
        <v>38.332740000000001</v>
      </c>
    </row>
    <row r="98" spans="1:7" x14ac:dyDescent="0.3">
      <c r="A98" s="15" t="s">
        <v>82</v>
      </c>
      <c r="B98" t="s">
        <v>186</v>
      </c>
      <c r="C98" t="s">
        <v>67</v>
      </c>
      <c r="E98">
        <v>2030</v>
      </c>
      <c r="F98" t="s">
        <v>45</v>
      </c>
      <c r="G98">
        <f>0.12*G96</f>
        <v>6.216120000000001</v>
      </c>
    </row>
    <row r="99" spans="1:7" x14ac:dyDescent="0.3">
      <c r="A99" s="15" t="s">
        <v>82</v>
      </c>
      <c r="B99" t="s">
        <v>186</v>
      </c>
      <c r="C99" t="s">
        <v>67</v>
      </c>
      <c r="E99">
        <v>2030</v>
      </c>
      <c r="F99" t="s">
        <v>47</v>
      </c>
      <c r="G99">
        <v>0.189</v>
      </c>
    </row>
    <row r="100" spans="1:7" x14ac:dyDescent="0.3">
      <c r="A100" s="15" t="s">
        <v>82</v>
      </c>
      <c r="B100" t="s">
        <v>186</v>
      </c>
      <c r="C100" t="s">
        <v>67</v>
      </c>
      <c r="E100">
        <v>2030</v>
      </c>
      <c r="F100" t="s">
        <v>46</v>
      </c>
      <c r="G100">
        <v>0.62</v>
      </c>
    </row>
    <row r="101" spans="1:7" x14ac:dyDescent="0.3">
      <c r="A101" s="15" t="s">
        <v>82</v>
      </c>
      <c r="B101" t="s">
        <v>192</v>
      </c>
      <c r="C101" t="s">
        <v>67</v>
      </c>
      <c r="E101">
        <v>2030</v>
      </c>
      <c r="F101" t="s">
        <v>40</v>
      </c>
      <c r="G101">
        <f>(150)*-1*TECHNOLOGIES_RESOURCES!Z24*G100</f>
        <v>51.801000000000009</v>
      </c>
    </row>
    <row r="102" spans="1:7" x14ac:dyDescent="0.3">
      <c r="A102" s="15" t="s">
        <v>82</v>
      </c>
      <c r="B102" t="s">
        <v>192</v>
      </c>
      <c r="C102" t="s">
        <v>67</v>
      </c>
      <c r="E102">
        <v>2050</v>
      </c>
      <c r="F102" t="s">
        <v>40</v>
      </c>
      <c r="G102">
        <f>(111)*-1*TECHNOLOGIES_RESOURCES!Z24*G100</f>
        <v>38.332740000000001</v>
      </c>
    </row>
    <row r="103" spans="1:7" x14ac:dyDescent="0.3">
      <c r="A103" s="15" t="s">
        <v>82</v>
      </c>
      <c r="B103" t="s">
        <v>192</v>
      </c>
      <c r="C103" t="s">
        <v>67</v>
      </c>
      <c r="E103">
        <v>2030</v>
      </c>
      <c r="F103" t="s">
        <v>45</v>
      </c>
      <c r="G103">
        <f>0.12*G101</f>
        <v>6.216120000000001</v>
      </c>
    </row>
    <row r="104" spans="1:7" x14ac:dyDescent="0.3">
      <c r="A104" s="15" t="s">
        <v>82</v>
      </c>
      <c r="B104" t="s">
        <v>192</v>
      </c>
      <c r="C104" t="s">
        <v>67</v>
      </c>
      <c r="E104">
        <v>2030</v>
      </c>
      <c r="F104" t="s">
        <v>47</v>
      </c>
      <c r="G104">
        <v>0.189</v>
      </c>
    </row>
    <row r="105" spans="1:7" x14ac:dyDescent="0.3">
      <c r="A105" s="15" t="s">
        <v>82</v>
      </c>
      <c r="B105" t="s">
        <v>194</v>
      </c>
      <c r="C105" t="s">
        <v>67</v>
      </c>
      <c r="E105">
        <v>2030</v>
      </c>
      <c r="F105" t="s">
        <v>46</v>
      </c>
      <c r="G105">
        <v>0.62</v>
      </c>
    </row>
    <row r="106" spans="1:7" x14ac:dyDescent="0.3">
      <c r="A106" s="15" t="s">
        <v>82</v>
      </c>
      <c r="B106" t="s">
        <v>194</v>
      </c>
      <c r="C106" t="s">
        <v>67</v>
      </c>
      <c r="E106">
        <v>2030</v>
      </c>
      <c r="F106" t="s">
        <v>40</v>
      </c>
      <c r="G106">
        <f>(150)*-1*TECHNOLOGIES_RESOURCES!Z25*G105</f>
        <v>51.801000000000009</v>
      </c>
    </row>
    <row r="107" spans="1:7" x14ac:dyDescent="0.3">
      <c r="A107" s="15" t="s">
        <v>82</v>
      </c>
      <c r="B107" t="s">
        <v>194</v>
      </c>
      <c r="C107" t="s">
        <v>67</v>
      </c>
      <c r="E107">
        <v>2050</v>
      </c>
      <c r="F107" t="s">
        <v>40</v>
      </c>
      <c r="G107">
        <f>(111)*-1*TECHNOLOGIES_RESOURCES!Z25*G105</f>
        <v>38.332740000000001</v>
      </c>
    </row>
    <row r="108" spans="1:7" x14ac:dyDescent="0.3">
      <c r="A108" s="15" t="s">
        <v>82</v>
      </c>
      <c r="B108" t="s">
        <v>194</v>
      </c>
      <c r="C108" t="s">
        <v>67</v>
      </c>
      <c r="E108">
        <v>2030</v>
      </c>
      <c r="F108" t="s">
        <v>45</v>
      </c>
      <c r="G108">
        <f>0.12*G106</f>
        <v>6.216120000000001</v>
      </c>
    </row>
    <row r="109" spans="1:7" x14ac:dyDescent="0.3">
      <c r="A109" s="15" t="s">
        <v>82</v>
      </c>
      <c r="B109" t="s">
        <v>194</v>
      </c>
      <c r="C109" t="s">
        <v>67</v>
      </c>
      <c r="E109">
        <v>2030</v>
      </c>
      <c r="F109" t="s">
        <v>47</v>
      </c>
      <c r="G109">
        <v>0.189</v>
      </c>
    </row>
    <row r="110" spans="1:7" x14ac:dyDescent="0.3">
      <c r="A110" s="15" t="s">
        <v>82</v>
      </c>
      <c r="B110" t="s">
        <v>195</v>
      </c>
      <c r="C110" t="s">
        <v>67</v>
      </c>
      <c r="E110">
        <v>2030</v>
      </c>
      <c r="F110" t="s">
        <v>46</v>
      </c>
      <c r="G110">
        <v>0.62</v>
      </c>
    </row>
    <row r="111" spans="1:7" x14ac:dyDescent="0.3">
      <c r="A111" s="15" t="s">
        <v>82</v>
      </c>
      <c r="B111" t="s">
        <v>195</v>
      </c>
      <c r="C111" t="s">
        <v>67</v>
      </c>
      <c r="E111">
        <v>2030</v>
      </c>
      <c r="F111" t="s">
        <v>40</v>
      </c>
      <c r="G111">
        <f>(150)*-1*TECHNOLOGIES_RESOURCES!Z26*G110</f>
        <v>51.801000000000009</v>
      </c>
    </row>
    <row r="112" spans="1:7" x14ac:dyDescent="0.3">
      <c r="A112" s="15" t="s">
        <v>82</v>
      </c>
      <c r="B112" t="s">
        <v>195</v>
      </c>
      <c r="C112" t="s">
        <v>67</v>
      </c>
      <c r="E112">
        <v>2050</v>
      </c>
      <c r="F112" t="s">
        <v>40</v>
      </c>
      <c r="G112">
        <f>(111)*-1*TECHNOLOGIES_RESOURCES!Z26*G110</f>
        <v>38.332740000000001</v>
      </c>
    </row>
    <row r="113" spans="1:7" x14ac:dyDescent="0.3">
      <c r="A113" s="15" t="s">
        <v>82</v>
      </c>
      <c r="B113" t="s">
        <v>195</v>
      </c>
      <c r="C113" t="s">
        <v>67</v>
      </c>
      <c r="E113">
        <v>2030</v>
      </c>
      <c r="F113" t="s">
        <v>45</v>
      </c>
      <c r="G113">
        <f>0.12*G111</f>
        <v>6.216120000000001</v>
      </c>
    </row>
    <row r="114" spans="1:7" x14ac:dyDescent="0.3">
      <c r="A114" s="15" t="s">
        <v>82</v>
      </c>
      <c r="B114" t="s">
        <v>195</v>
      </c>
      <c r="C114" t="s">
        <v>67</v>
      </c>
      <c r="E114">
        <v>2030</v>
      </c>
      <c r="F114" t="s">
        <v>47</v>
      </c>
      <c r="G114">
        <v>0.189</v>
      </c>
    </row>
    <row r="115" spans="1:7" x14ac:dyDescent="0.3">
      <c r="A115" s="15" t="s">
        <v>83</v>
      </c>
      <c r="B115" t="s">
        <v>68</v>
      </c>
      <c r="C115" t="s">
        <v>67</v>
      </c>
      <c r="E115">
        <v>2040</v>
      </c>
      <c r="F115" t="s">
        <v>46</v>
      </c>
      <c r="G115">
        <v>0.93</v>
      </c>
    </row>
    <row r="116" spans="1:7" x14ac:dyDescent="0.3">
      <c r="A116" s="15" t="s">
        <v>83</v>
      </c>
      <c r="B116" t="s">
        <v>68</v>
      </c>
      <c r="C116" t="s">
        <v>67</v>
      </c>
      <c r="E116">
        <v>2040</v>
      </c>
      <c r="F116" t="s">
        <v>40</v>
      </c>
      <c r="G116">
        <f>(150)*-1*TECHNOLOGIES_RESOURCES!Z20*G115</f>
        <v>77.70150000000001</v>
      </c>
    </row>
    <row r="117" spans="1:7" x14ac:dyDescent="0.3">
      <c r="A117" s="15" t="s">
        <v>83</v>
      </c>
      <c r="B117" t="s">
        <v>68</v>
      </c>
      <c r="C117" t="s">
        <v>67</v>
      </c>
      <c r="E117">
        <v>2050</v>
      </c>
      <c r="F117" t="s">
        <v>40</v>
      </c>
      <c r="G117">
        <f>(111)*-1*TECHNOLOGIES_RESOURCES!Z20*G115</f>
        <v>57.499110000000009</v>
      </c>
    </row>
    <row r="118" spans="1:7" x14ac:dyDescent="0.3">
      <c r="A118" s="15" t="s">
        <v>83</v>
      </c>
      <c r="B118" t="s">
        <v>68</v>
      </c>
      <c r="C118" t="s">
        <v>67</v>
      </c>
      <c r="E118">
        <v>2040</v>
      </c>
      <c r="F118" t="s">
        <v>45</v>
      </c>
      <c r="G118">
        <f>0.12*G116</f>
        <v>9.3241800000000001</v>
      </c>
    </row>
    <row r="119" spans="1:7" x14ac:dyDescent="0.3">
      <c r="A119" s="15" t="s">
        <v>83</v>
      </c>
      <c r="B119" t="s">
        <v>68</v>
      </c>
      <c r="C119" t="s">
        <v>67</v>
      </c>
      <c r="E119">
        <v>2040</v>
      </c>
      <c r="F119" t="s">
        <v>47</v>
      </c>
      <c r="G119">
        <v>0.255</v>
      </c>
    </row>
    <row r="120" spans="1:7" x14ac:dyDescent="0.3">
      <c r="A120" s="15" t="s">
        <v>83</v>
      </c>
      <c r="B120" t="s">
        <v>69</v>
      </c>
      <c r="C120" t="s">
        <v>67</v>
      </c>
      <c r="E120">
        <v>2040</v>
      </c>
      <c r="F120" t="s">
        <v>46</v>
      </c>
      <c r="G120">
        <v>0.93</v>
      </c>
    </row>
    <row r="121" spans="1:7" x14ac:dyDescent="0.3">
      <c r="A121" s="15" t="s">
        <v>83</v>
      </c>
      <c r="B121" t="s">
        <v>69</v>
      </c>
      <c r="C121" t="s">
        <v>67</v>
      </c>
      <c r="E121">
        <v>2040</v>
      </c>
      <c r="F121" t="s">
        <v>40</v>
      </c>
      <c r="G121">
        <f>(150)*-1*TECHNOLOGIES_RESOURCES!Z23*G120</f>
        <v>77.70150000000001</v>
      </c>
    </row>
    <row r="122" spans="1:7" x14ac:dyDescent="0.3">
      <c r="A122" s="15" t="s">
        <v>83</v>
      </c>
      <c r="B122" t="s">
        <v>69</v>
      </c>
      <c r="C122" t="s">
        <v>67</v>
      </c>
      <c r="E122">
        <v>2050</v>
      </c>
      <c r="F122" t="s">
        <v>40</v>
      </c>
      <c r="G122">
        <f>(111)*-1*TECHNOLOGIES_RESOURCES!Z23*G120</f>
        <v>57.499110000000009</v>
      </c>
    </row>
    <row r="123" spans="1:7" x14ac:dyDescent="0.3">
      <c r="A123" s="15" t="s">
        <v>83</v>
      </c>
      <c r="B123" t="s">
        <v>69</v>
      </c>
      <c r="C123" t="s">
        <v>67</v>
      </c>
      <c r="E123">
        <v>2040</v>
      </c>
      <c r="F123" t="s">
        <v>45</v>
      </c>
      <c r="G123">
        <f>0.12*G121</f>
        <v>9.3241800000000001</v>
      </c>
    </row>
    <row r="124" spans="1:7" x14ac:dyDescent="0.3">
      <c r="A124" s="15" t="s">
        <v>83</v>
      </c>
      <c r="B124" t="s">
        <v>69</v>
      </c>
      <c r="C124" t="s">
        <v>67</v>
      </c>
      <c r="E124">
        <v>2040</v>
      </c>
      <c r="F124" t="s">
        <v>47</v>
      </c>
      <c r="G124">
        <v>0.255</v>
      </c>
    </row>
    <row r="125" spans="1:7" x14ac:dyDescent="0.3">
      <c r="A125" s="15" t="s">
        <v>83</v>
      </c>
      <c r="B125" t="s">
        <v>70</v>
      </c>
      <c r="C125" t="s">
        <v>67</v>
      </c>
      <c r="E125">
        <v>2040</v>
      </c>
      <c r="F125" t="s">
        <v>46</v>
      </c>
      <c r="G125">
        <v>0.93</v>
      </c>
    </row>
    <row r="126" spans="1:7" x14ac:dyDescent="0.3">
      <c r="A126" s="15" t="s">
        <v>83</v>
      </c>
      <c r="B126" t="s">
        <v>70</v>
      </c>
      <c r="C126" t="s">
        <v>67</v>
      </c>
      <c r="E126">
        <v>2040</v>
      </c>
      <c r="F126" t="s">
        <v>40</v>
      </c>
      <c r="G126">
        <f>(150)*-1*TECHNOLOGIES_RESOURCES!Z24*G125</f>
        <v>77.70150000000001</v>
      </c>
    </row>
    <row r="127" spans="1:7" x14ac:dyDescent="0.3">
      <c r="A127" s="15" t="s">
        <v>83</v>
      </c>
      <c r="B127" t="s">
        <v>70</v>
      </c>
      <c r="C127" t="s">
        <v>67</v>
      </c>
      <c r="E127">
        <v>2050</v>
      </c>
      <c r="F127" t="s">
        <v>40</v>
      </c>
      <c r="G127">
        <f>(111)*-1*TECHNOLOGIES_RESOURCES!Z24*G125</f>
        <v>57.499110000000009</v>
      </c>
    </row>
    <row r="128" spans="1:7" x14ac:dyDescent="0.3">
      <c r="A128" s="15" t="s">
        <v>83</v>
      </c>
      <c r="B128" t="s">
        <v>70</v>
      </c>
      <c r="C128" t="s">
        <v>67</v>
      </c>
      <c r="E128">
        <v>2040</v>
      </c>
      <c r="F128" t="s">
        <v>45</v>
      </c>
      <c r="G128">
        <f>0.12*G126</f>
        <v>9.3241800000000001</v>
      </c>
    </row>
    <row r="129" spans="1:7" x14ac:dyDescent="0.3">
      <c r="A129" s="15" t="s">
        <v>83</v>
      </c>
      <c r="B129" t="s">
        <v>70</v>
      </c>
      <c r="C129" t="s">
        <v>67</v>
      </c>
      <c r="E129">
        <v>2040</v>
      </c>
      <c r="F129" t="s">
        <v>47</v>
      </c>
      <c r="G129">
        <v>0.255</v>
      </c>
    </row>
    <row r="130" spans="1:7" x14ac:dyDescent="0.3">
      <c r="A130" s="15" t="s">
        <v>83</v>
      </c>
      <c r="B130" t="s">
        <v>80</v>
      </c>
      <c r="C130" t="s">
        <v>67</v>
      </c>
      <c r="E130">
        <v>2040</v>
      </c>
      <c r="F130" t="s">
        <v>46</v>
      </c>
      <c r="G130">
        <v>0.93</v>
      </c>
    </row>
    <row r="131" spans="1:7" x14ac:dyDescent="0.3">
      <c r="A131" s="15" t="s">
        <v>83</v>
      </c>
      <c r="B131" t="s">
        <v>80</v>
      </c>
      <c r="C131" t="s">
        <v>67</v>
      </c>
      <c r="E131">
        <v>2040</v>
      </c>
      <c r="F131" t="s">
        <v>40</v>
      </c>
      <c r="G131">
        <f>(150)*-1*TECHNOLOGIES_RESOURCES!Z25*G130</f>
        <v>77.70150000000001</v>
      </c>
    </row>
    <row r="132" spans="1:7" x14ac:dyDescent="0.3">
      <c r="A132" s="15" t="s">
        <v>83</v>
      </c>
      <c r="B132" t="s">
        <v>80</v>
      </c>
      <c r="C132" t="s">
        <v>67</v>
      </c>
      <c r="E132">
        <v>2050</v>
      </c>
      <c r="F132" t="s">
        <v>40</v>
      </c>
      <c r="G132">
        <f>(111)*-1*TECHNOLOGIES_RESOURCES!Z25*G130</f>
        <v>57.499110000000009</v>
      </c>
    </row>
    <row r="133" spans="1:7" x14ac:dyDescent="0.3">
      <c r="A133" s="15" t="s">
        <v>83</v>
      </c>
      <c r="B133" t="s">
        <v>80</v>
      </c>
      <c r="C133" t="s">
        <v>67</v>
      </c>
      <c r="E133">
        <v>2040</v>
      </c>
      <c r="F133" t="s">
        <v>45</v>
      </c>
      <c r="G133">
        <f>0.12*G131</f>
        <v>9.3241800000000001</v>
      </c>
    </row>
    <row r="134" spans="1:7" x14ac:dyDescent="0.3">
      <c r="A134" s="15" t="s">
        <v>83</v>
      </c>
      <c r="B134" t="s">
        <v>80</v>
      </c>
      <c r="C134" t="s">
        <v>67</v>
      </c>
      <c r="E134">
        <v>2040</v>
      </c>
      <c r="F134" t="s">
        <v>47</v>
      </c>
      <c r="G134">
        <v>0.255</v>
      </c>
    </row>
    <row r="135" spans="1:7" x14ac:dyDescent="0.3">
      <c r="A135" s="15" t="s">
        <v>83</v>
      </c>
      <c r="B135" t="s">
        <v>81</v>
      </c>
      <c r="C135" t="s">
        <v>67</v>
      </c>
      <c r="E135">
        <v>2040</v>
      </c>
      <c r="F135" t="s">
        <v>46</v>
      </c>
      <c r="G135">
        <v>0.93</v>
      </c>
    </row>
    <row r="136" spans="1:7" x14ac:dyDescent="0.3">
      <c r="A136" s="15" t="s">
        <v>83</v>
      </c>
      <c r="B136" t="s">
        <v>81</v>
      </c>
      <c r="C136" t="s">
        <v>67</v>
      </c>
      <c r="E136">
        <v>2040</v>
      </c>
      <c r="F136" t="s">
        <v>40</v>
      </c>
      <c r="G136">
        <f>(150)*-1*TECHNOLOGIES_RESOURCES!Z26*G135</f>
        <v>77.70150000000001</v>
      </c>
    </row>
    <row r="137" spans="1:7" x14ac:dyDescent="0.3">
      <c r="A137" s="15" t="s">
        <v>83</v>
      </c>
      <c r="B137" t="s">
        <v>81</v>
      </c>
      <c r="C137" t="s">
        <v>67</v>
      </c>
      <c r="E137">
        <v>2040</v>
      </c>
      <c r="F137" t="s">
        <v>40</v>
      </c>
      <c r="G137">
        <f>(111)*-1*TECHNOLOGIES_RESOURCES!Z26*G135</f>
        <v>57.499110000000009</v>
      </c>
    </row>
    <row r="138" spans="1:7" x14ac:dyDescent="0.3">
      <c r="A138" s="15" t="s">
        <v>83</v>
      </c>
      <c r="B138" t="s">
        <v>81</v>
      </c>
      <c r="C138" t="s">
        <v>67</v>
      </c>
      <c r="E138">
        <v>2040</v>
      </c>
      <c r="F138" t="s">
        <v>45</v>
      </c>
      <c r="G138">
        <f>0.12*G136</f>
        <v>9.3241800000000001</v>
      </c>
    </row>
    <row r="139" spans="1:7" x14ac:dyDescent="0.3">
      <c r="A139" s="15" t="s">
        <v>83</v>
      </c>
      <c r="B139" t="s">
        <v>81</v>
      </c>
      <c r="C139" t="s">
        <v>67</v>
      </c>
      <c r="E139">
        <v>2040</v>
      </c>
      <c r="F139" t="s">
        <v>47</v>
      </c>
      <c r="G139">
        <v>0.255</v>
      </c>
    </row>
    <row r="140" spans="1:7" x14ac:dyDescent="0.3">
      <c r="A140" s="15" t="s">
        <v>83</v>
      </c>
      <c r="B140" t="s">
        <v>186</v>
      </c>
      <c r="C140" t="s">
        <v>67</v>
      </c>
      <c r="E140">
        <v>2040</v>
      </c>
      <c r="F140" t="s">
        <v>46</v>
      </c>
      <c r="G140">
        <v>0.93</v>
      </c>
    </row>
    <row r="141" spans="1:7" x14ac:dyDescent="0.3">
      <c r="A141" s="15" t="s">
        <v>83</v>
      </c>
      <c r="B141" t="s">
        <v>186</v>
      </c>
      <c r="C141" t="s">
        <v>67</v>
      </c>
      <c r="E141">
        <v>2040</v>
      </c>
      <c r="F141" t="s">
        <v>40</v>
      </c>
      <c r="G141">
        <f>(150)*-1*TECHNOLOGIES_RESOURCES!Z42*G140</f>
        <v>52.3125</v>
      </c>
    </row>
    <row r="142" spans="1:7" x14ac:dyDescent="0.3">
      <c r="A142" s="15" t="s">
        <v>83</v>
      </c>
      <c r="B142" t="s">
        <v>186</v>
      </c>
      <c r="C142" t="s">
        <v>67</v>
      </c>
      <c r="E142">
        <v>2050</v>
      </c>
      <c r="F142" t="s">
        <v>40</v>
      </c>
      <c r="G142">
        <f>(111)*-1*TECHNOLOGIES_RESOURCES!Z42*G140</f>
        <v>38.71125</v>
      </c>
    </row>
    <row r="143" spans="1:7" x14ac:dyDescent="0.3">
      <c r="A143" s="15" t="s">
        <v>83</v>
      </c>
      <c r="B143" t="s">
        <v>186</v>
      </c>
      <c r="C143" t="s">
        <v>67</v>
      </c>
      <c r="E143">
        <v>2040</v>
      </c>
      <c r="F143" t="s">
        <v>45</v>
      </c>
      <c r="G143">
        <f>0.12*G141</f>
        <v>6.2774999999999999</v>
      </c>
    </row>
    <row r="144" spans="1:7" x14ac:dyDescent="0.3">
      <c r="A144" s="15" t="s">
        <v>83</v>
      </c>
      <c r="B144" t="s">
        <v>186</v>
      </c>
      <c r="C144" t="s">
        <v>67</v>
      </c>
      <c r="E144">
        <v>2040</v>
      </c>
      <c r="F144" t="s">
        <v>47</v>
      </c>
      <c r="G144">
        <v>0.189</v>
      </c>
    </row>
    <row r="145" spans="1:7" x14ac:dyDescent="0.3">
      <c r="A145" s="15" t="s">
        <v>83</v>
      </c>
      <c r="B145" t="s">
        <v>186</v>
      </c>
      <c r="C145" t="s">
        <v>67</v>
      </c>
      <c r="E145">
        <v>2040</v>
      </c>
      <c r="F145" t="s">
        <v>46</v>
      </c>
      <c r="G145">
        <v>0.93</v>
      </c>
    </row>
    <row r="146" spans="1:7" x14ac:dyDescent="0.3">
      <c r="A146" s="15" t="s">
        <v>83</v>
      </c>
      <c r="B146" t="s">
        <v>192</v>
      </c>
      <c r="C146" t="s">
        <v>67</v>
      </c>
      <c r="E146">
        <v>2040</v>
      </c>
      <c r="F146" t="s">
        <v>40</v>
      </c>
      <c r="G146">
        <f>(150)*-1*TECHNOLOGIES_RESOURCES!Z43*G145</f>
        <v>57.055499999999995</v>
      </c>
    </row>
    <row r="147" spans="1:7" x14ac:dyDescent="0.3">
      <c r="A147" s="15" t="s">
        <v>83</v>
      </c>
      <c r="B147" t="s">
        <v>192</v>
      </c>
      <c r="C147" t="s">
        <v>67</v>
      </c>
      <c r="E147">
        <v>2050</v>
      </c>
      <c r="F147" t="s">
        <v>40</v>
      </c>
      <c r="G147">
        <f>(111)*-1*TECHNOLOGIES_RESOURCES!Z43*G145</f>
        <v>42.221069999999997</v>
      </c>
    </row>
    <row r="148" spans="1:7" x14ac:dyDescent="0.3">
      <c r="A148" s="15" t="s">
        <v>83</v>
      </c>
      <c r="B148" t="s">
        <v>192</v>
      </c>
      <c r="C148" t="s">
        <v>67</v>
      </c>
      <c r="E148">
        <v>2040</v>
      </c>
      <c r="F148" t="s">
        <v>45</v>
      </c>
      <c r="G148">
        <f>0.12*G146</f>
        <v>6.8466599999999991</v>
      </c>
    </row>
    <row r="149" spans="1:7" x14ac:dyDescent="0.3">
      <c r="A149" s="15" t="s">
        <v>83</v>
      </c>
      <c r="B149" t="s">
        <v>192</v>
      </c>
      <c r="C149" t="s">
        <v>67</v>
      </c>
      <c r="E149">
        <v>2040</v>
      </c>
      <c r="F149" t="s">
        <v>47</v>
      </c>
      <c r="G149">
        <v>0.189</v>
      </c>
    </row>
    <row r="150" spans="1:7" x14ac:dyDescent="0.3">
      <c r="A150" s="15" t="s">
        <v>83</v>
      </c>
      <c r="B150" t="s">
        <v>194</v>
      </c>
      <c r="C150" t="s">
        <v>67</v>
      </c>
      <c r="E150">
        <v>2040</v>
      </c>
      <c r="F150" t="s">
        <v>46</v>
      </c>
      <c r="G150">
        <v>0.93</v>
      </c>
    </row>
    <row r="151" spans="1:7" x14ac:dyDescent="0.3">
      <c r="A151" s="15" t="s">
        <v>83</v>
      </c>
      <c r="B151" t="s">
        <v>194</v>
      </c>
      <c r="C151" t="s">
        <v>67</v>
      </c>
      <c r="E151">
        <v>2040</v>
      </c>
      <c r="F151" t="s">
        <v>40</v>
      </c>
      <c r="G151">
        <f>(150)*-1*TECHNOLOGIES_RESOURCES!Z44*G150</f>
        <v>52.3125</v>
      </c>
    </row>
    <row r="152" spans="1:7" x14ac:dyDescent="0.3">
      <c r="A152" s="15" t="s">
        <v>83</v>
      </c>
      <c r="B152" t="s">
        <v>194</v>
      </c>
      <c r="C152" t="s">
        <v>67</v>
      </c>
      <c r="E152">
        <v>2050</v>
      </c>
      <c r="F152" t="s">
        <v>40</v>
      </c>
      <c r="G152">
        <f>(111)*-1*TECHNOLOGIES_RESOURCES!Z44*G150</f>
        <v>38.71125</v>
      </c>
    </row>
    <row r="153" spans="1:7" x14ac:dyDescent="0.3">
      <c r="A153" s="15" t="s">
        <v>83</v>
      </c>
      <c r="B153" t="s">
        <v>194</v>
      </c>
      <c r="C153" t="s">
        <v>67</v>
      </c>
      <c r="E153">
        <v>2040</v>
      </c>
      <c r="F153" t="s">
        <v>45</v>
      </c>
      <c r="G153">
        <f>0.12*G151</f>
        <v>6.2774999999999999</v>
      </c>
    </row>
    <row r="154" spans="1:7" x14ac:dyDescent="0.3">
      <c r="A154" s="15" t="s">
        <v>83</v>
      </c>
      <c r="B154" t="s">
        <v>194</v>
      </c>
      <c r="C154" t="s">
        <v>67</v>
      </c>
      <c r="E154">
        <v>2040</v>
      </c>
      <c r="F154" t="s">
        <v>47</v>
      </c>
      <c r="G154">
        <v>0.189</v>
      </c>
    </row>
    <row r="155" spans="1:7" x14ac:dyDescent="0.3">
      <c r="A155" s="15" t="s">
        <v>83</v>
      </c>
      <c r="B155" t="s">
        <v>195</v>
      </c>
      <c r="C155" t="s">
        <v>67</v>
      </c>
      <c r="E155">
        <v>2040</v>
      </c>
      <c r="F155" t="s">
        <v>46</v>
      </c>
      <c r="G155">
        <v>0.93</v>
      </c>
    </row>
    <row r="156" spans="1:7" x14ac:dyDescent="0.3">
      <c r="A156" s="15" t="s">
        <v>83</v>
      </c>
      <c r="B156" t="s">
        <v>195</v>
      </c>
      <c r="C156" t="s">
        <v>67</v>
      </c>
      <c r="E156">
        <v>2040</v>
      </c>
      <c r="F156" t="s">
        <v>40</v>
      </c>
      <c r="G156">
        <f>(150)*-1*TECHNOLOGIES_RESOURCES!Z45*G155</f>
        <v>57.055499999999995</v>
      </c>
    </row>
    <row r="157" spans="1:7" x14ac:dyDescent="0.3">
      <c r="A157" s="15" t="s">
        <v>83</v>
      </c>
      <c r="B157" t="s">
        <v>195</v>
      </c>
      <c r="C157" t="s">
        <v>67</v>
      </c>
      <c r="E157">
        <v>2050</v>
      </c>
      <c r="F157" t="s">
        <v>40</v>
      </c>
      <c r="G157">
        <f>(111)*-1*TECHNOLOGIES_RESOURCES!Z45*G155</f>
        <v>42.221069999999997</v>
      </c>
    </row>
    <row r="158" spans="1:7" x14ac:dyDescent="0.3">
      <c r="A158" s="15" t="s">
        <v>83</v>
      </c>
      <c r="B158" t="s">
        <v>195</v>
      </c>
      <c r="C158" t="s">
        <v>67</v>
      </c>
      <c r="E158">
        <v>2040</v>
      </c>
      <c r="F158" t="s">
        <v>45</v>
      </c>
      <c r="G158">
        <f>0.12*G156</f>
        <v>6.8466599999999991</v>
      </c>
    </row>
    <row r="159" spans="1:7" x14ac:dyDescent="0.3">
      <c r="A159" s="15" t="s">
        <v>83</v>
      </c>
      <c r="B159" t="s">
        <v>195</v>
      </c>
      <c r="C159" t="s">
        <v>67</v>
      </c>
      <c r="E159">
        <v>2040</v>
      </c>
      <c r="F159" t="s">
        <v>47</v>
      </c>
      <c r="G159">
        <v>0.189</v>
      </c>
    </row>
    <row r="160" spans="1:7" x14ac:dyDescent="0.3">
      <c r="A160" s="15" t="s">
        <v>127</v>
      </c>
      <c r="B160" t="s">
        <v>116</v>
      </c>
      <c r="C160" t="s">
        <v>117</v>
      </c>
      <c r="E160">
        <v>2030</v>
      </c>
      <c r="F160" t="s">
        <v>46</v>
      </c>
      <c r="G160">
        <v>0.56999999999999995</v>
      </c>
    </row>
    <row r="161" spans="1:7" x14ac:dyDescent="0.3">
      <c r="A161" s="15" t="s">
        <v>127</v>
      </c>
      <c r="B161" t="s">
        <v>116</v>
      </c>
      <c r="C161" t="s">
        <v>117</v>
      </c>
      <c r="E161">
        <v>2030</v>
      </c>
      <c r="F161" t="s">
        <v>40</v>
      </c>
      <c r="G161">
        <f>(90)*TECHNOLOGIES_RESOURCES!Z69*-1</f>
        <v>158.4</v>
      </c>
    </row>
    <row r="162" spans="1:7" x14ac:dyDescent="0.3">
      <c r="A162" s="15" t="s">
        <v>127</v>
      </c>
      <c r="B162" t="s">
        <v>116</v>
      </c>
      <c r="C162" t="s">
        <v>117</v>
      </c>
      <c r="E162">
        <v>2050</v>
      </c>
      <c r="F162" t="s">
        <v>40</v>
      </c>
      <c r="G162">
        <f>(67)*TECHNOLOGIES_RESOURCES!Z69*-1</f>
        <v>117.92</v>
      </c>
    </row>
    <row r="163" spans="1:7" x14ac:dyDescent="0.3">
      <c r="A163" s="15" t="s">
        <v>127</v>
      </c>
      <c r="B163" t="s">
        <v>116</v>
      </c>
      <c r="C163" t="s">
        <v>117</v>
      </c>
      <c r="E163">
        <v>2030</v>
      </c>
      <c r="F163" t="s">
        <v>45</v>
      </c>
      <c r="G163">
        <f>0.05*G161</f>
        <v>7.9200000000000008</v>
      </c>
    </row>
    <row r="164" spans="1:7" x14ac:dyDescent="0.3">
      <c r="A164" s="15" t="s">
        <v>127</v>
      </c>
      <c r="B164" t="s">
        <v>116</v>
      </c>
      <c r="C164" t="s">
        <v>117</v>
      </c>
      <c r="E164">
        <v>2030</v>
      </c>
      <c r="F164" t="s">
        <v>47</v>
      </c>
      <c r="G164">
        <f>0.267-0.173</f>
        <v>9.4000000000000028E-2</v>
      </c>
    </row>
    <row r="165" spans="1:7" x14ac:dyDescent="0.3">
      <c r="A165" s="40" t="s">
        <v>184</v>
      </c>
      <c r="B165" s="41" t="s">
        <v>100</v>
      </c>
      <c r="C165" s="41" t="s">
        <v>99</v>
      </c>
      <c r="D165" s="41"/>
      <c r="E165" s="41">
        <v>2030</v>
      </c>
      <c r="F165" s="41" t="s">
        <v>46</v>
      </c>
      <c r="G165" s="41">
        <v>0.52</v>
      </c>
    </row>
    <row r="166" spans="1:7" x14ac:dyDescent="0.3">
      <c r="A166" s="40" t="s">
        <v>184</v>
      </c>
      <c r="B166" s="41" t="s">
        <v>100</v>
      </c>
      <c r="C166" s="41" t="s">
        <v>99</v>
      </c>
      <c r="D166" s="41"/>
      <c r="E166" s="41">
        <v>2030</v>
      </c>
      <c r="F166" s="41" t="s">
        <v>40</v>
      </c>
      <c r="G166" s="41">
        <f>(180)*-1*TECHNOLOGIES_RESOURCES!Z51*G165</f>
        <v>76.691612903225803</v>
      </c>
    </row>
    <row r="167" spans="1:7" x14ac:dyDescent="0.3">
      <c r="A167" s="40" t="s">
        <v>184</v>
      </c>
      <c r="B167" s="41" t="s">
        <v>100</v>
      </c>
      <c r="C167" s="41" t="s">
        <v>99</v>
      </c>
      <c r="D167" s="41"/>
      <c r="E167" s="41">
        <v>2050</v>
      </c>
      <c r="F167" s="41" t="s">
        <v>40</v>
      </c>
      <c r="G167" s="41">
        <f>(133)*-1*TECHNOLOGIES_RESOURCES!Z51*G165</f>
        <v>56.666580645161289</v>
      </c>
    </row>
    <row r="168" spans="1:7" x14ac:dyDescent="0.3">
      <c r="A168" s="40" t="s">
        <v>184</v>
      </c>
      <c r="B168" s="41" t="s">
        <v>100</v>
      </c>
      <c r="C168" s="41" t="s">
        <v>99</v>
      </c>
      <c r="D168" s="41"/>
      <c r="E168" s="41">
        <v>2030</v>
      </c>
      <c r="F168" s="41" t="s">
        <v>45</v>
      </c>
      <c r="G168" s="41">
        <f>G166*0.1</f>
        <v>7.669161290322581</v>
      </c>
    </row>
    <row r="169" spans="1:7" x14ac:dyDescent="0.3">
      <c r="A169" s="40" t="s">
        <v>184</v>
      </c>
      <c r="B169" s="41" t="s">
        <v>100</v>
      </c>
      <c r="C169" s="41" t="s">
        <v>99</v>
      </c>
      <c r="D169" s="41"/>
      <c r="E169" s="41">
        <v>2030</v>
      </c>
      <c r="F169" s="41" t="s">
        <v>47</v>
      </c>
      <c r="G169" s="41">
        <v>0.41299999999999998</v>
      </c>
    </row>
    <row r="170" spans="1:7" x14ac:dyDescent="0.3">
      <c r="A170" s="40" t="s">
        <v>184</v>
      </c>
      <c r="B170" s="41" t="s">
        <v>100</v>
      </c>
      <c r="C170" s="41" t="s">
        <v>99</v>
      </c>
      <c r="D170" s="41"/>
      <c r="E170" s="41">
        <v>2030</v>
      </c>
      <c r="F170" s="41" t="s">
        <v>48</v>
      </c>
      <c r="G170" s="41">
        <v>6.2E-2</v>
      </c>
    </row>
    <row r="171" spans="1:7" x14ac:dyDescent="0.3">
      <c r="A171" s="40" t="s">
        <v>184</v>
      </c>
      <c r="B171" s="41" t="s">
        <v>101</v>
      </c>
      <c r="C171" s="41" t="s">
        <v>99</v>
      </c>
      <c r="D171" s="41"/>
      <c r="E171" s="41">
        <v>2030</v>
      </c>
      <c r="F171" s="41" t="s">
        <v>46</v>
      </c>
      <c r="G171" s="41">
        <v>0.52</v>
      </c>
    </row>
    <row r="172" spans="1:7" x14ac:dyDescent="0.3">
      <c r="A172" s="40" t="s">
        <v>184</v>
      </c>
      <c r="B172" s="41" t="s">
        <v>101</v>
      </c>
      <c r="C172" s="41" t="s">
        <v>99</v>
      </c>
      <c r="D172" s="41"/>
      <c r="E172" s="41">
        <v>2030</v>
      </c>
      <c r="F172" s="41" t="s">
        <v>40</v>
      </c>
      <c r="G172" s="41">
        <f>(180)*-1*TECHNOLOGIES_RESOURCES!Z52*G171</f>
        <v>57.367741935483863</v>
      </c>
    </row>
    <row r="173" spans="1:7" x14ac:dyDescent="0.3">
      <c r="A173" s="40" t="s">
        <v>184</v>
      </c>
      <c r="B173" s="41" t="s">
        <v>101</v>
      </c>
      <c r="C173" s="41" t="s">
        <v>99</v>
      </c>
      <c r="D173" s="41"/>
      <c r="E173" s="41">
        <v>2050</v>
      </c>
      <c r="F173" s="41" t="s">
        <v>40</v>
      </c>
      <c r="G173" s="41">
        <f>(133)*-1*TECHNOLOGIES_RESOURCES!Z52*G171</f>
        <v>42.388387096774188</v>
      </c>
    </row>
    <row r="174" spans="1:7" x14ac:dyDescent="0.3">
      <c r="A174" s="40" t="s">
        <v>184</v>
      </c>
      <c r="B174" s="41" t="s">
        <v>101</v>
      </c>
      <c r="C174" s="41" t="s">
        <v>99</v>
      </c>
      <c r="D174" s="41"/>
      <c r="E174" s="41">
        <v>2030</v>
      </c>
      <c r="F174" s="41" t="s">
        <v>45</v>
      </c>
      <c r="G174" s="41">
        <f>G172*0.1</f>
        <v>5.7367741935483867</v>
      </c>
    </row>
    <row r="175" spans="1:7" x14ac:dyDescent="0.3">
      <c r="A175" s="40" t="s">
        <v>184</v>
      </c>
      <c r="B175" s="41" t="s">
        <v>101</v>
      </c>
      <c r="C175" s="41" t="s">
        <v>99</v>
      </c>
      <c r="D175" s="41"/>
      <c r="E175" s="41">
        <v>2030</v>
      </c>
      <c r="F175" s="41" t="s">
        <v>47</v>
      </c>
      <c r="G175" s="41">
        <v>0.41299999999999998</v>
      </c>
    </row>
    <row r="176" spans="1:7" x14ac:dyDescent="0.3">
      <c r="A176" s="40" t="s">
        <v>184</v>
      </c>
      <c r="B176" s="41" t="s">
        <v>101</v>
      </c>
      <c r="C176" s="41" t="s">
        <v>99</v>
      </c>
      <c r="D176" s="41"/>
      <c r="E176" s="41">
        <v>2030</v>
      </c>
      <c r="F176" s="41" t="s">
        <v>48</v>
      </c>
      <c r="G176" s="41">
        <v>6.2E-2</v>
      </c>
    </row>
    <row r="177" spans="1:7" x14ac:dyDescent="0.3">
      <c r="A177" s="40" t="s">
        <v>144</v>
      </c>
      <c r="B177" s="41" t="s">
        <v>100</v>
      </c>
      <c r="C177" s="41" t="s">
        <v>99</v>
      </c>
      <c r="D177" s="41"/>
      <c r="E177" s="41">
        <v>2040</v>
      </c>
      <c r="F177" s="41" t="s">
        <v>46</v>
      </c>
      <c r="G177" s="41">
        <v>0.85</v>
      </c>
    </row>
    <row r="178" spans="1:7" x14ac:dyDescent="0.3">
      <c r="A178" s="40" t="s">
        <v>144</v>
      </c>
      <c r="B178" s="41" t="s">
        <v>100</v>
      </c>
      <c r="C178" s="41" t="s">
        <v>99</v>
      </c>
      <c r="D178" s="41"/>
      <c r="E178" s="41">
        <v>2040</v>
      </c>
      <c r="F178" s="41" t="s">
        <v>40</v>
      </c>
      <c r="G178" s="41">
        <f>(180)*-1*TECHNOLOGIES_RESOURCES!Z51*G177</f>
        <v>125.36129032258063</v>
      </c>
    </row>
    <row r="179" spans="1:7" x14ac:dyDescent="0.3">
      <c r="A179" s="40" t="s">
        <v>144</v>
      </c>
      <c r="B179" s="41" t="s">
        <v>100</v>
      </c>
      <c r="C179" s="41" t="s">
        <v>99</v>
      </c>
      <c r="D179" s="41"/>
      <c r="E179" s="41">
        <v>2050</v>
      </c>
      <c r="F179" s="41" t="s">
        <v>40</v>
      </c>
      <c r="G179" s="41">
        <f>(133)*-1*TECHNOLOGIES_RESOURCES!Z51*G177</f>
        <v>92.628064516129029</v>
      </c>
    </row>
    <row r="180" spans="1:7" x14ac:dyDescent="0.3">
      <c r="A180" s="40" t="s">
        <v>144</v>
      </c>
      <c r="B180" s="41" t="s">
        <v>100</v>
      </c>
      <c r="C180" s="41" t="s">
        <v>99</v>
      </c>
      <c r="D180" s="41"/>
      <c r="E180" s="41">
        <v>2040</v>
      </c>
      <c r="F180" s="41" t="s">
        <v>45</v>
      </c>
      <c r="G180" s="41">
        <f>G178*0.1</f>
        <v>12.536129032258064</v>
      </c>
    </row>
    <row r="181" spans="1:7" x14ac:dyDescent="0.3">
      <c r="A181" s="40" t="s">
        <v>144</v>
      </c>
      <c r="B181" s="41" t="s">
        <v>100</v>
      </c>
      <c r="C181" s="41" t="s">
        <v>99</v>
      </c>
      <c r="D181" s="41"/>
      <c r="E181" s="41">
        <v>2040</v>
      </c>
      <c r="F181" s="41" t="s">
        <v>47</v>
      </c>
      <c r="G181" s="41">
        <v>0.41299999999999998</v>
      </c>
    </row>
    <row r="182" spans="1:7" x14ac:dyDescent="0.3">
      <c r="A182" s="40" t="s">
        <v>144</v>
      </c>
      <c r="B182" s="41" t="s">
        <v>100</v>
      </c>
      <c r="C182" s="41" t="s">
        <v>99</v>
      </c>
      <c r="D182" s="41"/>
      <c r="E182" s="41">
        <v>2040</v>
      </c>
      <c r="F182" s="41" t="s">
        <v>48</v>
      </c>
      <c r="G182" s="41">
        <v>6.2E-2</v>
      </c>
    </row>
    <row r="183" spans="1:7" x14ac:dyDescent="0.3">
      <c r="A183" s="40" t="s">
        <v>144</v>
      </c>
      <c r="B183" s="41" t="s">
        <v>101</v>
      </c>
      <c r="C183" s="41" t="s">
        <v>99</v>
      </c>
      <c r="D183" s="41"/>
      <c r="E183" s="41">
        <v>2040</v>
      </c>
      <c r="F183" s="41" t="s">
        <v>46</v>
      </c>
      <c r="G183" s="41">
        <v>0.85</v>
      </c>
    </row>
    <row r="184" spans="1:7" x14ac:dyDescent="0.3">
      <c r="A184" s="40" t="s">
        <v>144</v>
      </c>
      <c r="B184" s="41" t="s">
        <v>101</v>
      </c>
      <c r="C184" s="41" t="s">
        <v>99</v>
      </c>
      <c r="D184" s="41"/>
      <c r="E184" s="41">
        <v>2040</v>
      </c>
      <c r="F184" s="41" t="s">
        <v>40</v>
      </c>
      <c r="G184" s="41">
        <f>(180)*-1*TECHNOLOGIES_RESOURCES!Z52*G183</f>
        <v>93.774193548387075</v>
      </c>
    </row>
    <row r="185" spans="1:7" x14ac:dyDescent="0.3">
      <c r="A185" s="40" t="s">
        <v>144</v>
      </c>
      <c r="B185" s="41" t="s">
        <v>101</v>
      </c>
      <c r="C185" s="41" t="s">
        <v>99</v>
      </c>
      <c r="D185" s="41"/>
      <c r="E185" s="41">
        <v>2050</v>
      </c>
      <c r="F185" s="41" t="s">
        <v>40</v>
      </c>
      <c r="G185" s="41">
        <f>(133)*-1*TECHNOLOGIES_RESOURCES!Z52*G183</f>
        <v>69.288709677419334</v>
      </c>
    </row>
    <row r="186" spans="1:7" x14ac:dyDescent="0.3">
      <c r="A186" s="40" t="s">
        <v>144</v>
      </c>
      <c r="B186" s="41" t="s">
        <v>101</v>
      </c>
      <c r="C186" s="41" t="s">
        <v>99</v>
      </c>
      <c r="D186" s="41"/>
      <c r="E186" s="41">
        <v>2040</v>
      </c>
      <c r="F186" s="41" t="s">
        <v>45</v>
      </c>
      <c r="G186" s="41">
        <f>G184*0.1</f>
        <v>9.3774193548387075</v>
      </c>
    </row>
    <row r="187" spans="1:7" x14ac:dyDescent="0.3">
      <c r="A187" s="40" t="s">
        <v>144</v>
      </c>
      <c r="B187" s="41" t="s">
        <v>101</v>
      </c>
      <c r="C187" s="41" t="s">
        <v>99</v>
      </c>
      <c r="D187" s="41"/>
      <c r="E187" s="41">
        <v>2040</v>
      </c>
      <c r="F187" s="41" t="s">
        <v>47</v>
      </c>
      <c r="G187" s="41">
        <v>0.41299999999999998</v>
      </c>
    </row>
    <row r="188" spans="1:7" x14ac:dyDescent="0.3">
      <c r="A188" s="40" t="s">
        <v>144</v>
      </c>
      <c r="B188" s="41" t="s">
        <v>101</v>
      </c>
      <c r="C188" s="41" t="s">
        <v>99</v>
      </c>
      <c r="D188" s="41"/>
      <c r="E188" s="41">
        <v>2040</v>
      </c>
      <c r="F188" s="41" t="s">
        <v>48</v>
      </c>
      <c r="G188" s="41">
        <v>6.2E-2</v>
      </c>
    </row>
    <row r="189" spans="1:7" x14ac:dyDescent="0.3">
      <c r="A189" s="15" t="s">
        <v>167</v>
      </c>
      <c r="B189" t="s">
        <v>172</v>
      </c>
      <c r="C189" t="s">
        <v>145</v>
      </c>
      <c r="E189">
        <v>2030</v>
      </c>
      <c r="F189" s="17" t="s">
        <v>46</v>
      </c>
      <c r="G189">
        <v>0.75</v>
      </c>
    </row>
    <row r="190" spans="1:7" x14ac:dyDescent="0.3">
      <c r="A190" s="15" t="s">
        <v>167</v>
      </c>
      <c r="B190" t="s">
        <v>172</v>
      </c>
      <c r="C190" t="s">
        <v>145</v>
      </c>
      <c r="E190">
        <v>2030</v>
      </c>
      <c r="F190" t="s">
        <v>40</v>
      </c>
      <c r="G190">
        <f>400*TECHNOLOGIES_RESOURCES!Z111*-1*G189</f>
        <v>62.977099236641223</v>
      </c>
    </row>
    <row r="191" spans="1:7" x14ac:dyDescent="0.3">
      <c r="A191" s="15" t="s">
        <v>167</v>
      </c>
      <c r="B191" t="s">
        <v>172</v>
      </c>
      <c r="C191" t="s">
        <v>145</v>
      </c>
      <c r="E191">
        <v>2050</v>
      </c>
      <c r="F191" t="s">
        <v>40</v>
      </c>
      <c r="G191">
        <f>296*TECHNOLOGIES_RESOURCES!Z111*-1*G189</f>
        <v>46.603053435114504</v>
      </c>
    </row>
    <row r="192" spans="1:7" x14ac:dyDescent="0.3">
      <c r="A192" s="15" t="s">
        <v>167</v>
      </c>
      <c r="B192" t="s">
        <v>172</v>
      </c>
      <c r="C192" t="s">
        <v>145</v>
      </c>
      <c r="E192">
        <v>2030</v>
      </c>
      <c r="F192" t="s">
        <v>45</v>
      </c>
      <c r="G192">
        <f>0.07*G190</f>
        <v>4.4083969465648858</v>
      </c>
    </row>
    <row r="193" spans="1:7" x14ac:dyDescent="0.3">
      <c r="A193" s="15" t="s">
        <v>167</v>
      </c>
      <c r="B193" t="s">
        <v>172</v>
      </c>
      <c r="C193" t="s">
        <v>145</v>
      </c>
      <c r="E193">
        <v>2030</v>
      </c>
      <c r="F193" t="s">
        <v>32</v>
      </c>
      <c r="G193">
        <v>15</v>
      </c>
    </row>
    <row r="194" spans="1:7" x14ac:dyDescent="0.3">
      <c r="A194" s="15" t="s">
        <v>167</v>
      </c>
      <c r="B194" t="s">
        <v>160</v>
      </c>
      <c r="C194" t="s">
        <v>145</v>
      </c>
      <c r="E194">
        <v>2030</v>
      </c>
      <c r="F194" s="17" t="s">
        <v>46</v>
      </c>
      <c r="G194">
        <v>0.75</v>
      </c>
    </row>
    <row r="195" spans="1:7" x14ac:dyDescent="0.3">
      <c r="A195" s="15" t="s">
        <v>167</v>
      </c>
      <c r="B195" t="s">
        <v>160</v>
      </c>
      <c r="C195" t="s">
        <v>145</v>
      </c>
      <c r="E195">
        <v>2030</v>
      </c>
      <c r="F195" t="s">
        <v>40</v>
      </c>
      <c r="G195">
        <f>400*-1*TECHNOLOGIES_RESOURCES!Z100</f>
        <v>22.21</v>
      </c>
    </row>
    <row r="196" spans="1:7" x14ac:dyDescent="0.3">
      <c r="A196" s="15" t="s">
        <v>167</v>
      </c>
      <c r="B196" t="s">
        <v>160</v>
      </c>
      <c r="C196" t="s">
        <v>145</v>
      </c>
      <c r="E196">
        <v>2050</v>
      </c>
      <c r="F196" t="s">
        <v>40</v>
      </c>
      <c r="G196">
        <f>296*-1*TECHNOLOGIES_RESOURCES!Z100*G194</f>
        <v>12.326549999999997</v>
      </c>
    </row>
    <row r="197" spans="1:7" x14ac:dyDescent="0.3">
      <c r="A197" s="15" t="s">
        <v>167</v>
      </c>
      <c r="B197" t="s">
        <v>160</v>
      </c>
      <c r="C197" t="s">
        <v>145</v>
      </c>
      <c r="E197">
        <v>2030</v>
      </c>
      <c r="F197" t="s">
        <v>45</v>
      </c>
      <c r="G197">
        <f>0.07*G195*G194</f>
        <v>1.1660250000000001</v>
      </c>
    </row>
    <row r="198" spans="1:7" x14ac:dyDescent="0.3">
      <c r="A198" s="15" t="s">
        <v>167</v>
      </c>
      <c r="B198" t="s">
        <v>160</v>
      </c>
      <c r="C198" t="s">
        <v>145</v>
      </c>
      <c r="E198">
        <v>2030</v>
      </c>
      <c r="F198" t="s">
        <v>32</v>
      </c>
      <c r="G198">
        <v>15</v>
      </c>
    </row>
    <row r="199" spans="1:7" x14ac:dyDescent="0.3">
      <c r="A199" s="15" t="s">
        <v>167</v>
      </c>
      <c r="B199" t="s">
        <v>159</v>
      </c>
      <c r="C199" t="s">
        <v>145</v>
      </c>
      <c r="E199">
        <v>2030</v>
      </c>
      <c r="F199" s="17" t="s">
        <v>46</v>
      </c>
      <c r="G199">
        <v>0.75</v>
      </c>
    </row>
    <row r="200" spans="1:7" x14ac:dyDescent="0.3">
      <c r="A200" s="15" t="s">
        <v>167</v>
      </c>
      <c r="B200" t="s">
        <v>159</v>
      </c>
      <c r="C200" t="s">
        <v>145</v>
      </c>
      <c r="E200">
        <v>2030</v>
      </c>
      <c r="F200" t="s">
        <v>40</v>
      </c>
      <c r="G200">
        <f>400*-1*TECHNOLOGIES_RESOURCES!Z98*G199</f>
        <v>6.7583999999999982</v>
      </c>
    </row>
    <row r="201" spans="1:7" x14ac:dyDescent="0.3">
      <c r="A201" s="15" t="s">
        <v>167</v>
      </c>
      <c r="B201" t="s">
        <v>159</v>
      </c>
      <c r="C201" t="s">
        <v>145</v>
      </c>
      <c r="E201">
        <v>2050</v>
      </c>
      <c r="F201" t="s">
        <v>40</v>
      </c>
      <c r="G201">
        <f>296*-1*TECHNOLOGIES_RESOURCES!Z98*G199</f>
        <v>5.0012159999999986</v>
      </c>
    </row>
    <row r="202" spans="1:7" x14ac:dyDescent="0.3">
      <c r="A202" s="15" t="s">
        <v>167</v>
      </c>
      <c r="B202" t="s">
        <v>159</v>
      </c>
      <c r="C202" t="s">
        <v>145</v>
      </c>
      <c r="E202">
        <v>2030</v>
      </c>
      <c r="F202" t="s">
        <v>45</v>
      </c>
      <c r="G202">
        <f>0.07*G200</f>
        <v>0.4730879999999999</v>
      </c>
    </row>
    <row r="203" spans="1:7" x14ac:dyDescent="0.3">
      <c r="A203" s="15" t="s">
        <v>167</v>
      </c>
      <c r="B203" t="s">
        <v>159</v>
      </c>
      <c r="C203" t="s">
        <v>145</v>
      </c>
      <c r="E203">
        <v>2030</v>
      </c>
      <c r="F203" t="s">
        <v>32</v>
      </c>
      <c r="G203">
        <v>15</v>
      </c>
    </row>
    <row r="204" spans="1:7" x14ac:dyDescent="0.3">
      <c r="A204" s="15" t="s">
        <v>167</v>
      </c>
      <c r="B204" t="s">
        <v>162</v>
      </c>
      <c r="C204" t="s">
        <v>145</v>
      </c>
      <c r="E204">
        <v>2030</v>
      </c>
      <c r="F204" s="17" t="s">
        <v>46</v>
      </c>
      <c r="G204">
        <v>0.75</v>
      </c>
    </row>
    <row r="205" spans="1:7" x14ac:dyDescent="0.3">
      <c r="A205" s="15" t="s">
        <v>167</v>
      </c>
      <c r="B205" t="s">
        <v>162</v>
      </c>
      <c r="C205" t="s">
        <v>145</v>
      </c>
      <c r="E205">
        <v>2030</v>
      </c>
      <c r="F205" t="s">
        <v>40</v>
      </c>
      <c r="G205">
        <f>400*-1*TECHNOLOGIES_RESOURCES!Z102*G204</f>
        <v>16.657499999999999</v>
      </c>
    </row>
    <row r="206" spans="1:7" x14ac:dyDescent="0.3">
      <c r="A206" s="15" t="s">
        <v>167</v>
      </c>
      <c r="B206" t="s">
        <v>162</v>
      </c>
      <c r="C206" t="s">
        <v>145</v>
      </c>
      <c r="E206">
        <v>2050</v>
      </c>
      <c r="F206" t="s">
        <v>40</v>
      </c>
      <c r="G206">
        <f>296*-1*TECHNOLOGIES_RESOURCES!Z102*G204</f>
        <v>12.326549999999997</v>
      </c>
    </row>
    <row r="207" spans="1:7" x14ac:dyDescent="0.3">
      <c r="A207" s="15" t="s">
        <v>167</v>
      </c>
      <c r="B207" t="s">
        <v>162</v>
      </c>
      <c r="C207" t="s">
        <v>145</v>
      </c>
      <c r="E207">
        <v>2030</v>
      </c>
      <c r="F207" t="s">
        <v>45</v>
      </c>
      <c r="G207">
        <f>0.07*G205</f>
        <v>1.1660250000000001</v>
      </c>
    </row>
    <row r="208" spans="1:7" x14ac:dyDescent="0.3">
      <c r="A208" s="15" t="s">
        <v>167</v>
      </c>
      <c r="B208" t="s">
        <v>162</v>
      </c>
      <c r="C208" t="s">
        <v>145</v>
      </c>
      <c r="E208">
        <v>2030</v>
      </c>
      <c r="F208" t="s">
        <v>32</v>
      </c>
      <c r="G208">
        <v>15</v>
      </c>
    </row>
    <row r="209" spans="1:7" x14ac:dyDescent="0.3">
      <c r="A209" s="15" t="s">
        <v>167</v>
      </c>
      <c r="B209" t="s">
        <v>161</v>
      </c>
      <c r="C209" t="s">
        <v>145</v>
      </c>
      <c r="E209">
        <v>2030</v>
      </c>
      <c r="F209" s="17" t="s">
        <v>46</v>
      </c>
      <c r="G209">
        <v>0.75</v>
      </c>
    </row>
    <row r="210" spans="1:7" x14ac:dyDescent="0.3">
      <c r="A210" s="15" t="s">
        <v>167</v>
      </c>
      <c r="B210" t="s">
        <v>161</v>
      </c>
      <c r="C210" t="s">
        <v>145</v>
      </c>
      <c r="E210">
        <v>2030</v>
      </c>
      <c r="F210" t="s">
        <v>40</v>
      </c>
      <c r="G210">
        <f>400*-1*TECHNOLOGIES_RESOURCES!Z101*G209</f>
        <v>6.7583999999999982</v>
      </c>
    </row>
    <row r="211" spans="1:7" x14ac:dyDescent="0.3">
      <c r="A211" s="15" t="s">
        <v>167</v>
      </c>
      <c r="B211" t="s">
        <v>161</v>
      </c>
      <c r="C211" t="s">
        <v>145</v>
      </c>
      <c r="E211">
        <v>2050</v>
      </c>
      <c r="F211" t="s">
        <v>40</v>
      </c>
      <c r="G211">
        <f>296*-1*TECHNOLOGIES_RESOURCES!Z101*G209</f>
        <v>5.0012159999999986</v>
      </c>
    </row>
    <row r="212" spans="1:7" x14ac:dyDescent="0.3">
      <c r="A212" s="15" t="s">
        <v>167</v>
      </c>
      <c r="B212" t="s">
        <v>161</v>
      </c>
      <c r="C212" t="s">
        <v>145</v>
      </c>
      <c r="E212">
        <v>2030</v>
      </c>
      <c r="F212" t="s">
        <v>45</v>
      </c>
      <c r="G212">
        <f>0.07*G210</f>
        <v>0.4730879999999999</v>
      </c>
    </row>
    <row r="213" spans="1:7" x14ac:dyDescent="0.3">
      <c r="A213" s="15" t="s">
        <v>167</v>
      </c>
      <c r="B213" t="s">
        <v>161</v>
      </c>
      <c r="C213" t="s">
        <v>145</v>
      </c>
      <c r="E213">
        <v>2030</v>
      </c>
      <c r="F213" t="s">
        <v>32</v>
      </c>
      <c r="G213">
        <v>15</v>
      </c>
    </row>
    <row r="214" spans="1:7" x14ac:dyDescent="0.3">
      <c r="A214" s="15" t="s">
        <v>167</v>
      </c>
      <c r="B214" t="s">
        <v>176</v>
      </c>
      <c r="C214" t="s">
        <v>145</v>
      </c>
      <c r="E214">
        <v>2030</v>
      </c>
      <c r="F214" s="17" t="s">
        <v>46</v>
      </c>
      <c r="G214">
        <v>0.75</v>
      </c>
    </row>
    <row r="215" spans="1:7" x14ac:dyDescent="0.3">
      <c r="A215" s="15" t="s">
        <v>167</v>
      </c>
      <c r="B215" t="s">
        <v>176</v>
      </c>
      <c r="C215" t="s">
        <v>145</v>
      </c>
      <c r="E215">
        <v>2030</v>
      </c>
      <c r="F215" t="s">
        <v>40</v>
      </c>
      <c r="G215">
        <f>400*-1*TECHNOLOGIES_RESOURCES!Z103*G214</f>
        <v>16.657499999999999</v>
      </c>
    </row>
    <row r="216" spans="1:7" x14ac:dyDescent="0.3">
      <c r="A216" s="15" t="s">
        <v>167</v>
      </c>
      <c r="B216" t="s">
        <v>176</v>
      </c>
      <c r="C216" t="s">
        <v>145</v>
      </c>
      <c r="E216">
        <v>2050</v>
      </c>
      <c r="F216" t="s">
        <v>40</v>
      </c>
      <c r="G216">
        <f>296*-1*TECHNOLOGIES_RESOURCES!Z103*G214</f>
        <v>12.326549999999997</v>
      </c>
    </row>
    <row r="217" spans="1:7" x14ac:dyDescent="0.3">
      <c r="A217" s="15" t="s">
        <v>167</v>
      </c>
      <c r="B217" t="s">
        <v>176</v>
      </c>
      <c r="C217" t="s">
        <v>145</v>
      </c>
      <c r="E217">
        <v>2030</v>
      </c>
      <c r="F217" t="s">
        <v>45</v>
      </c>
      <c r="G217">
        <f>0.07*G215</f>
        <v>1.1660250000000001</v>
      </c>
    </row>
    <row r="218" spans="1:7" x14ac:dyDescent="0.3">
      <c r="A218" s="15" t="s">
        <v>167</v>
      </c>
      <c r="B218" t="s">
        <v>176</v>
      </c>
      <c r="C218" t="s">
        <v>145</v>
      </c>
      <c r="E218">
        <v>2030</v>
      </c>
      <c r="F218" t="s">
        <v>32</v>
      </c>
      <c r="G218">
        <v>15</v>
      </c>
    </row>
    <row r="219" spans="1:7" x14ac:dyDescent="0.3">
      <c r="A219" s="15" t="s">
        <v>167</v>
      </c>
      <c r="B219" t="s">
        <v>177</v>
      </c>
      <c r="C219" t="s">
        <v>145</v>
      </c>
      <c r="E219">
        <v>2030</v>
      </c>
      <c r="F219" s="17" t="s">
        <v>46</v>
      </c>
      <c r="G219">
        <v>0.75</v>
      </c>
    </row>
    <row r="220" spans="1:7" x14ac:dyDescent="0.3">
      <c r="A220" s="15" t="s">
        <v>167</v>
      </c>
      <c r="B220" t="s">
        <v>177</v>
      </c>
      <c r="C220" t="s">
        <v>145</v>
      </c>
      <c r="E220">
        <v>2030</v>
      </c>
      <c r="F220" t="s">
        <v>40</v>
      </c>
      <c r="G220">
        <f>400*-1*TECHNOLOGIES_RESOURCES!Z104*G219</f>
        <v>16.657499999999999</v>
      </c>
    </row>
    <row r="221" spans="1:7" x14ac:dyDescent="0.3">
      <c r="A221" s="15" t="s">
        <v>167</v>
      </c>
      <c r="B221" t="s">
        <v>177</v>
      </c>
      <c r="C221" t="s">
        <v>145</v>
      </c>
      <c r="E221">
        <v>2050</v>
      </c>
      <c r="F221" t="s">
        <v>40</v>
      </c>
      <c r="G221">
        <f>296*-1*TECHNOLOGIES_RESOURCES!Z104*G219</f>
        <v>12.326549999999997</v>
      </c>
    </row>
    <row r="222" spans="1:7" x14ac:dyDescent="0.3">
      <c r="A222" s="15" t="s">
        <v>167</v>
      </c>
      <c r="B222" t="s">
        <v>177</v>
      </c>
      <c r="C222" t="s">
        <v>145</v>
      </c>
      <c r="E222">
        <v>2030</v>
      </c>
      <c r="F222" t="s">
        <v>45</v>
      </c>
      <c r="G222">
        <f>0.07*G220</f>
        <v>1.1660250000000001</v>
      </c>
    </row>
    <row r="223" spans="1:7" x14ac:dyDescent="0.3">
      <c r="A223" s="15" t="s">
        <v>167</v>
      </c>
      <c r="B223" t="s">
        <v>177</v>
      </c>
      <c r="C223" t="s">
        <v>145</v>
      </c>
      <c r="E223">
        <v>2030</v>
      </c>
      <c r="F223" t="s">
        <v>32</v>
      </c>
      <c r="G223">
        <v>15</v>
      </c>
    </row>
    <row r="224" spans="1:7" x14ac:dyDescent="0.3">
      <c r="A224" s="15" t="s">
        <v>167</v>
      </c>
      <c r="B224" t="s">
        <v>178</v>
      </c>
      <c r="C224" t="s">
        <v>145</v>
      </c>
      <c r="E224">
        <v>2030</v>
      </c>
      <c r="F224" s="17" t="s">
        <v>46</v>
      </c>
      <c r="G224">
        <v>0.75</v>
      </c>
    </row>
    <row r="225" spans="1:7" x14ac:dyDescent="0.3">
      <c r="A225" s="15" t="s">
        <v>167</v>
      </c>
      <c r="B225" t="s">
        <v>178</v>
      </c>
      <c r="C225" t="s">
        <v>145</v>
      </c>
      <c r="E225">
        <v>2030</v>
      </c>
      <c r="F225" t="s">
        <v>40</v>
      </c>
      <c r="G225">
        <f>400*-1*TECHNOLOGIES_RESOURCES!Z105*G224</f>
        <v>16.657499999999999</v>
      </c>
    </row>
    <row r="226" spans="1:7" x14ac:dyDescent="0.3">
      <c r="A226" s="15" t="s">
        <v>167</v>
      </c>
      <c r="B226" t="s">
        <v>178</v>
      </c>
      <c r="C226" t="s">
        <v>145</v>
      </c>
      <c r="E226">
        <v>2050</v>
      </c>
      <c r="F226" t="s">
        <v>40</v>
      </c>
      <c r="G226">
        <f>296*-1*TECHNOLOGIES_RESOURCES!Z105*G224</f>
        <v>12.326549999999997</v>
      </c>
    </row>
    <row r="227" spans="1:7" x14ac:dyDescent="0.3">
      <c r="A227" s="15" t="s">
        <v>167</v>
      </c>
      <c r="B227" t="s">
        <v>178</v>
      </c>
      <c r="C227" t="s">
        <v>145</v>
      </c>
      <c r="E227">
        <v>2030</v>
      </c>
      <c r="F227" t="s">
        <v>45</v>
      </c>
      <c r="G227">
        <f>0.07*G225</f>
        <v>1.1660250000000001</v>
      </c>
    </row>
    <row r="228" spans="1:7" x14ac:dyDescent="0.3">
      <c r="A228" s="15" t="s">
        <v>167</v>
      </c>
      <c r="B228" t="s">
        <v>178</v>
      </c>
      <c r="C228" t="s">
        <v>145</v>
      </c>
      <c r="E228">
        <v>2030</v>
      </c>
      <c r="F228" t="s">
        <v>32</v>
      </c>
      <c r="G228">
        <v>15</v>
      </c>
    </row>
    <row r="229" spans="1:7" x14ac:dyDescent="0.3">
      <c r="A229" s="15" t="s">
        <v>167</v>
      </c>
      <c r="B229" t="s">
        <v>179</v>
      </c>
      <c r="C229" t="s">
        <v>145</v>
      </c>
      <c r="E229">
        <v>2030</v>
      </c>
      <c r="F229" s="17" t="s">
        <v>46</v>
      </c>
      <c r="G229">
        <v>0.75</v>
      </c>
    </row>
    <row r="230" spans="1:7" x14ac:dyDescent="0.3">
      <c r="A230" s="15" t="s">
        <v>167</v>
      </c>
      <c r="B230" t="s">
        <v>179</v>
      </c>
      <c r="C230" t="s">
        <v>145</v>
      </c>
      <c r="E230">
        <v>2030</v>
      </c>
      <c r="F230" t="s">
        <v>40</v>
      </c>
      <c r="G230">
        <f>400*-1*TECHNOLOGIES_RESOURCES!Z106*G229</f>
        <v>16.657499999999999</v>
      </c>
    </row>
    <row r="231" spans="1:7" x14ac:dyDescent="0.3">
      <c r="A231" s="15" t="s">
        <v>167</v>
      </c>
      <c r="B231" t="s">
        <v>179</v>
      </c>
      <c r="C231" t="s">
        <v>145</v>
      </c>
      <c r="E231">
        <v>2050</v>
      </c>
      <c r="F231" t="s">
        <v>40</v>
      </c>
      <c r="G231">
        <f>296*-1*TECHNOLOGIES_RESOURCES!Z106*G229</f>
        <v>12.326549999999997</v>
      </c>
    </row>
    <row r="232" spans="1:7" x14ac:dyDescent="0.3">
      <c r="A232" s="15" t="s">
        <v>167</v>
      </c>
      <c r="B232" t="s">
        <v>179</v>
      </c>
      <c r="C232" t="s">
        <v>145</v>
      </c>
      <c r="E232">
        <v>2030</v>
      </c>
      <c r="F232" t="s">
        <v>45</v>
      </c>
      <c r="G232">
        <f>0.07*G230</f>
        <v>1.1660250000000001</v>
      </c>
    </row>
    <row r="233" spans="1:7" x14ac:dyDescent="0.3">
      <c r="A233" s="15" t="s">
        <v>167</v>
      </c>
      <c r="B233" t="s">
        <v>179</v>
      </c>
      <c r="C233" t="s">
        <v>145</v>
      </c>
      <c r="E233">
        <v>2030</v>
      </c>
      <c r="F233" t="s">
        <v>32</v>
      </c>
      <c r="G233">
        <v>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2023-09-04T16:28:38Z</dcterms:modified>
</cp:coreProperties>
</file>