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2839135C-6F5A-4F0B-9177-541B63506178}" xr6:coauthVersionLast="36" xr6:coauthVersionMax="36" xr10:uidLastSave="{00000000-0000-0000-0000-000000000000}"/>
  <bookViews>
    <workbookView xWindow="0" yWindow="0" windowWidth="28800" windowHeight="11565" activeTab="5" xr2:uid="{00000000-000D-0000-FFFF-FFFF00000000}"/>
  </bookViews>
  <sheets>
    <sheet name="France" sheetId="1" r:id="rId1"/>
    <sheet name="Germany" sheetId="9" r:id="rId2"/>
    <sheet name="Italy" sheetId="10" r:id="rId3"/>
    <sheet name="Great Britain" sheetId="11" r:id="rId4"/>
    <sheet name="Spain" sheetId="12" r:id="rId5"/>
    <sheet name="Belgium" sheetId="14" r:id="rId6"/>
    <sheet name="Source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9" l="1"/>
  <c r="D18" i="10"/>
  <c r="D19" i="10" l="1"/>
  <c r="E19" i="10" s="1"/>
  <c r="C19" i="14"/>
  <c r="C20" i="14" s="1"/>
  <c r="C19" i="12"/>
  <c r="C20" i="12" s="1"/>
  <c r="C20" i="11"/>
  <c r="C19" i="11"/>
  <c r="C20" i="10"/>
  <c r="C19" i="10"/>
  <c r="D19" i="9"/>
  <c r="D20" i="9" s="1"/>
  <c r="F20" i="9" s="1"/>
  <c r="C19" i="9"/>
  <c r="C20" i="9" s="1"/>
  <c r="C20" i="1"/>
  <c r="C19" i="1"/>
  <c r="D20" i="10" l="1"/>
  <c r="F19" i="10"/>
  <c r="E20" i="9"/>
  <c r="E19" i="9"/>
  <c r="F19" i="9"/>
  <c r="E20" i="10" l="1"/>
  <c r="F20" i="10"/>
  <c r="D25" i="14"/>
  <c r="F25" i="14" s="1"/>
  <c r="D25" i="12"/>
  <c r="F25" i="12" s="1"/>
  <c r="D25" i="11"/>
  <c r="F25" i="11" s="1"/>
  <c r="D25" i="10"/>
  <c r="F25" i="10" s="1"/>
  <c r="D25" i="9"/>
  <c r="F25" i="9" s="1"/>
  <c r="D25" i="1"/>
  <c r="F25" i="1" s="1"/>
  <c r="E25" i="14" l="1"/>
  <c r="E25" i="12"/>
  <c r="E25" i="11"/>
  <c r="E25" i="10"/>
  <c r="E25" i="9"/>
  <c r="E25" i="1"/>
  <c r="F33" i="12" l="1"/>
  <c r="G33" i="12" s="1"/>
  <c r="F34" i="12"/>
  <c r="G34" i="12"/>
  <c r="G34" i="1" l="1"/>
  <c r="E34" i="1"/>
  <c r="G33" i="1"/>
  <c r="E33" i="1"/>
  <c r="G34" i="9"/>
  <c r="E34" i="9"/>
  <c r="F34" i="9" s="1"/>
  <c r="G33" i="9"/>
  <c r="F33" i="9"/>
  <c r="E33" i="9"/>
  <c r="E34" i="10"/>
  <c r="E33" i="10"/>
  <c r="G34" i="11"/>
  <c r="E34" i="11"/>
  <c r="F34" i="11" s="1"/>
  <c r="G33" i="11"/>
  <c r="F33" i="11"/>
  <c r="E33" i="11"/>
  <c r="E34" i="12"/>
  <c r="E33" i="12"/>
  <c r="E34" i="14"/>
  <c r="F34" i="14" s="1"/>
  <c r="E33" i="14"/>
  <c r="G34" i="14"/>
  <c r="G33" i="14"/>
  <c r="F33" i="14" s="1"/>
  <c r="D35" i="10"/>
  <c r="C35" i="10"/>
  <c r="F34" i="10" l="1"/>
  <c r="F33" i="10"/>
  <c r="F34" i="1"/>
  <c r="F33" i="1"/>
  <c r="C40" i="11"/>
  <c r="C39" i="11"/>
  <c r="C38" i="11"/>
  <c r="C40" i="10"/>
  <c r="C38" i="10"/>
  <c r="C39" i="10" l="1"/>
  <c r="G33" i="10"/>
  <c r="G34" i="10"/>
  <c r="C40" i="14"/>
  <c r="C39" i="14" s="1"/>
  <c r="C38" i="14"/>
  <c r="C40" i="12"/>
  <c r="C38" i="12"/>
  <c r="G41" i="11"/>
  <c r="D41" i="14"/>
  <c r="F37" i="14"/>
  <c r="E37" i="14"/>
  <c r="G35" i="14"/>
  <c r="E35" i="14" s="1"/>
  <c r="D41" i="12"/>
  <c r="F37" i="12"/>
  <c r="E37" i="12"/>
  <c r="G35" i="12"/>
  <c r="F35" i="12" s="1"/>
  <c r="D41" i="11"/>
  <c r="D40" i="11"/>
  <c r="D38" i="11"/>
  <c r="F37" i="11"/>
  <c r="E37" i="11"/>
  <c r="G35" i="11"/>
  <c r="F35" i="11" s="1"/>
  <c r="G35" i="10"/>
  <c r="D38" i="10"/>
  <c r="C38" i="9"/>
  <c r="C39" i="9" s="1"/>
  <c r="C40" i="9"/>
  <c r="D41" i="10"/>
  <c r="F37" i="10"/>
  <c r="E37" i="10"/>
  <c r="D41" i="9"/>
  <c r="D39" i="1"/>
  <c r="D41" i="1"/>
  <c r="D38" i="1"/>
  <c r="C39" i="1"/>
  <c r="C38" i="1"/>
  <c r="F37" i="9"/>
  <c r="E37" i="9"/>
  <c r="G35" i="9"/>
  <c r="F35" i="9"/>
  <c r="E35" i="9"/>
  <c r="C40" i="1" l="1"/>
  <c r="F35" i="10"/>
  <c r="E35" i="11"/>
  <c r="F35" i="14"/>
  <c r="C39" i="12"/>
  <c r="E39" i="12" s="1"/>
  <c r="E35" i="12"/>
  <c r="D40" i="14"/>
  <c r="G39" i="14"/>
  <c r="G38" i="14"/>
  <c r="G41" i="14"/>
  <c r="D40" i="12"/>
  <c r="G41" i="12"/>
  <c r="G38" i="12"/>
  <c r="E39" i="11"/>
  <c r="E38" i="11"/>
  <c r="E39" i="14"/>
  <c r="D39" i="14"/>
  <c r="E41" i="14"/>
  <c r="F41" i="14" s="1"/>
  <c r="D38" i="14"/>
  <c r="E38" i="14"/>
  <c r="E40" i="14" s="1"/>
  <c r="D39" i="12"/>
  <c r="G39" i="12"/>
  <c r="F39" i="12" s="1"/>
  <c r="E41" i="12"/>
  <c r="D38" i="12"/>
  <c r="E38" i="12"/>
  <c r="G38" i="11"/>
  <c r="G39" i="11"/>
  <c r="D39" i="11"/>
  <c r="E41" i="11"/>
  <c r="D40" i="10"/>
  <c r="G38" i="9"/>
  <c r="D38" i="9"/>
  <c r="E38" i="10"/>
  <c r="G39" i="10"/>
  <c r="E35" i="10"/>
  <c r="D39" i="9"/>
  <c r="E41" i="9"/>
  <c r="G38" i="1"/>
  <c r="G39" i="1"/>
  <c r="G41" i="1"/>
  <c r="E39" i="1"/>
  <c r="E41" i="1"/>
  <c r="F41" i="1" l="1"/>
  <c r="D40" i="1"/>
  <c r="E38" i="1"/>
  <c r="F41" i="12"/>
  <c r="F39" i="11"/>
  <c r="G40" i="14"/>
  <c r="F40" i="14" s="1"/>
  <c r="F39" i="14"/>
  <c r="G40" i="12"/>
  <c r="E40" i="12"/>
  <c r="E40" i="11"/>
  <c r="F38" i="14"/>
  <c r="F38" i="12"/>
  <c r="F38" i="11"/>
  <c r="G40" i="11"/>
  <c r="F41" i="11"/>
  <c r="G41" i="10"/>
  <c r="G38" i="10"/>
  <c r="E41" i="10"/>
  <c r="D39" i="10"/>
  <c r="E39" i="10"/>
  <c r="D40" i="9"/>
  <c r="G41" i="9"/>
  <c r="F41" i="9" s="1"/>
  <c r="E38" i="9"/>
  <c r="G39" i="9"/>
  <c r="E39" i="9"/>
  <c r="G40" i="1"/>
  <c r="E40" i="1"/>
  <c r="F39" i="1"/>
  <c r="F39" i="10" l="1"/>
  <c r="F38" i="1"/>
  <c r="F40" i="12"/>
  <c r="F40" i="11"/>
  <c r="F41" i="10"/>
  <c r="E40" i="10"/>
  <c r="G40" i="10"/>
  <c r="F38" i="10"/>
  <c r="F39" i="9"/>
  <c r="G40" i="9"/>
  <c r="F38" i="9"/>
  <c r="E40" i="9"/>
  <c r="F40" i="1"/>
  <c r="F40" i="10" l="1"/>
  <c r="F40" i="9"/>
  <c r="F37" i="1" l="1"/>
  <c r="E37" i="1"/>
  <c r="G35" i="1"/>
  <c r="F35" i="1" l="1"/>
  <c r="E35" i="1"/>
  <c r="E22" i="14"/>
  <c r="E22" i="12"/>
  <c r="E22" i="11"/>
  <c r="E22" i="10"/>
  <c r="E22" i="9"/>
  <c r="E22" i="1"/>
  <c r="O7" i="14" l="1"/>
  <c r="N7" i="14"/>
  <c r="M7" i="14"/>
  <c r="M8" i="14" s="1"/>
  <c r="N8" i="14"/>
  <c r="L7" i="14"/>
  <c r="L8" i="14" s="1"/>
  <c r="O6" i="14"/>
  <c r="N6" i="14"/>
  <c r="M6" i="14"/>
  <c r="L6" i="14"/>
  <c r="O5" i="14"/>
  <c r="N5" i="14"/>
  <c r="M5" i="14"/>
  <c r="L5" i="14"/>
  <c r="O4" i="14"/>
  <c r="N4" i="14"/>
  <c r="M4" i="14"/>
  <c r="L4" i="14"/>
  <c r="G16" i="14"/>
  <c r="G22" i="14"/>
  <c r="F18" i="14"/>
  <c r="E18" i="14"/>
  <c r="D18" i="14"/>
  <c r="D19" i="14" s="1"/>
  <c r="G17" i="14"/>
  <c r="E17" i="14"/>
  <c r="D17" i="14"/>
  <c r="C17" i="14"/>
  <c r="F16" i="14"/>
  <c r="F17" i="14" s="1"/>
  <c r="G9" i="14"/>
  <c r="G10" i="14" s="1"/>
  <c r="G8" i="14"/>
  <c r="E8" i="14"/>
  <c r="D8" i="14"/>
  <c r="C8" i="14"/>
  <c r="O8" i="14"/>
  <c r="F7" i="14"/>
  <c r="F8" i="14" s="1"/>
  <c r="G5" i="14"/>
  <c r="G6" i="14" s="1"/>
  <c r="F5" i="14"/>
  <c r="E5" i="14" s="1"/>
  <c r="G24" i="12"/>
  <c r="G24" i="11"/>
  <c r="G16" i="12"/>
  <c r="G17" i="12" s="1"/>
  <c r="G16" i="11"/>
  <c r="F16" i="11" s="1"/>
  <c r="F17" i="11" s="1"/>
  <c r="G16" i="10"/>
  <c r="G17" i="10" s="1"/>
  <c r="O4" i="12"/>
  <c r="N4" i="12"/>
  <c r="M4" i="12"/>
  <c r="L4" i="12"/>
  <c r="O5" i="12"/>
  <c r="N5" i="12"/>
  <c r="M5" i="12"/>
  <c r="L5" i="12"/>
  <c r="O6" i="12"/>
  <c r="N6" i="12"/>
  <c r="M6" i="12"/>
  <c r="L6" i="12"/>
  <c r="O7" i="12"/>
  <c r="N7" i="12"/>
  <c r="N8" i="12" s="1"/>
  <c r="M7" i="12"/>
  <c r="M8" i="12"/>
  <c r="O8" i="12"/>
  <c r="L7" i="12"/>
  <c r="L8" i="12" s="1"/>
  <c r="G22" i="12"/>
  <c r="F18" i="12"/>
  <c r="E18" i="12"/>
  <c r="D18" i="12"/>
  <c r="E17" i="12"/>
  <c r="D17" i="12"/>
  <c r="C17" i="12"/>
  <c r="G9" i="12"/>
  <c r="G8" i="12"/>
  <c r="E8" i="12"/>
  <c r="D8" i="12"/>
  <c r="C8" i="12" s="1"/>
  <c r="F7" i="12"/>
  <c r="F8" i="12" s="1"/>
  <c r="G5" i="12"/>
  <c r="F5" i="12" s="1"/>
  <c r="O7" i="11"/>
  <c r="O8" i="11" s="1"/>
  <c r="N7" i="11"/>
  <c r="M7" i="11"/>
  <c r="M8" i="11" s="1"/>
  <c r="L7" i="11"/>
  <c r="O6" i="11"/>
  <c r="N6" i="11"/>
  <c r="M6" i="11"/>
  <c r="L6" i="11"/>
  <c r="L4" i="11"/>
  <c r="O5" i="11"/>
  <c r="N5" i="11"/>
  <c r="M5" i="11"/>
  <c r="L5" i="11"/>
  <c r="O4" i="11"/>
  <c r="N4" i="11"/>
  <c r="M4" i="11"/>
  <c r="F14" i="11"/>
  <c r="F15" i="11" s="1"/>
  <c r="G22" i="11"/>
  <c r="F18" i="11"/>
  <c r="E18" i="11"/>
  <c r="D18" i="11"/>
  <c r="D19" i="11" s="1"/>
  <c r="E17" i="11"/>
  <c r="D17" i="11"/>
  <c r="C17" i="11"/>
  <c r="G9" i="11"/>
  <c r="G10" i="11" s="1"/>
  <c r="N8" i="11"/>
  <c r="L8" i="11"/>
  <c r="D14" i="11" s="1"/>
  <c r="G8" i="11"/>
  <c r="E8" i="11"/>
  <c r="D8" i="11"/>
  <c r="C8" i="11" s="1"/>
  <c r="F7" i="11"/>
  <c r="F8" i="11" s="1"/>
  <c r="G5" i="11"/>
  <c r="F5" i="11" s="1"/>
  <c r="O4" i="10"/>
  <c r="N4" i="10"/>
  <c r="M4" i="10"/>
  <c r="L4" i="10"/>
  <c r="O5" i="10"/>
  <c r="N5" i="10"/>
  <c r="M5" i="10"/>
  <c r="L5" i="10"/>
  <c r="O6" i="10"/>
  <c r="N6" i="10"/>
  <c r="M6" i="10"/>
  <c r="L6" i="10"/>
  <c r="O7" i="10"/>
  <c r="N7" i="10"/>
  <c r="M7" i="10"/>
  <c r="L7" i="10"/>
  <c r="G22" i="10"/>
  <c r="F18" i="10"/>
  <c r="E18" i="10"/>
  <c r="E17" i="10"/>
  <c r="D17" i="10"/>
  <c r="C17" i="10"/>
  <c r="F16" i="10"/>
  <c r="F17" i="10" s="1"/>
  <c r="G9" i="10"/>
  <c r="G24" i="10" s="1"/>
  <c r="O8" i="10"/>
  <c r="G8" i="10"/>
  <c r="E8" i="10"/>
  <c r="D8" i="10"/>
  <c r="F7" i="10"/>
  <c r="F8" i="10" s="1"/>
  <c r="G5" i="10"/>
  <c r="G6" i="10" s="1"/>
  <c r="O7" i="9"/>
  <c r="G14" i="9" s="1"/>
  <c r="G15" i="9" s="1"/>
  <c r="N7" i="9"/>
  <c r="M7" i="9"/>
  <c r="L7" i="9"/>
  <c r="O6" i="9"/>
  <c r="N6" i="9"/>
  <c r="M6" i="9"/>
  <c r="L6" i="9"/>
  <c r="O5" i="9"/>
  <c r="N5" i="9"/>
  <c r="M5" i="9"/>
  <c r="L5" i="9"/>
  <c r="O4" i="9"/>
  <c r="N4" i="9"/>
  <c r="M4" i="9"/>
  <c r="L4" i="9"/>
  <c r="F16" i="9"/>
  <c r="F17" i="9" s="1"/>
  <c r="G16" i="9"/>
  <c r="G17" i="9" s="1"/>
  <c r="G22" i="9"/>
  <c r="F18" i="9"/>
  <c r="E18" i="9"/>
  <c r="E17" i="9"/>
  <c r="D17" i="9"/>
  <c r="C17" i="9"/>
  <c r="E14" i="9"/>
  <c r="E15" i="9" s="1"/>
  <c r="G9" i="9"/>
  <c r="G24" i="9" s="1"/>
  <c r="F24" i="9" s="1"/>
  <c r="E24" i="9" s="1"/>
  <c r="D24" i="9" s="1"/>
  <c r="C24" i="9" s="1"/>
  <c r="O8" i="9"/>
  <c r="N8" i="9"/>
  <c r="M8" i="9"/>
  <c r="L8" i="9"/>
  <c r="G8" i="9"/>
  <c r="E8" i="9"/>
  <c r="D8" i="9"/>
  <c r="C8" i="9"/>
  <c r="F7" i="9"/>
  <c r="F8" i="9" s="1"/>
  <c r="G5" i="9"/>
  <c r="F5" i="9" s="1"/>
  <c r="G22" i="1"/>
  <c r="G5" i="1"/>
  <c r="G16" i="1"/>
  <c r="F16" i="1" s="1"/>
  <c r="G24" i="1"/>
  <c r="D14" i="1"/>
  <c r="C14" i="1" s="1"/>
  <c r="E14" i="1"/>
  <c r="F14" i="1"/>
  <c r="G14" i="1"/>
  <c r="O7" i="1"/>
  <c r="O8" i="1" s="1"/>
  <c r="N7" i="1"/>
  <c r="N8" i="1" s="1"/>
  <c r="M7" i="1"/>
  <c r="M8" i="1" s="1"/>
  <c r="L7" i="1"/>
  <c r="L8" i="1"/>
  <c r="O5" i="1"/>
  <c r="N5" i="1"/>
  <c r="M5" i="1"/>
  <c r="L5" i="1"/>
  <c r="O6" i="1"/>
  <c r="N6" i="1"/>
  <c r="M6" i="1"/>
  <c r="O4" i="1"/>
  <c r="N4" i="1"/>
  <c r="M4" i="1"/>
  <c r="L4" i="1"/>
  <c r="L6" i="1"/>
  <c r="G9" i="1"/>
  <c r="D19" i="12" l="1"/>
  <c r="D20" i="14"/>
  <c r="E19" i="14"/>
  <c r="F19" i="14"/>
  <c r="D20" i="12"/>
  <c r="F19" i="12"/>
  <c r="E19" i="12"/>
  <c r="D20" i="11"/>
  <c r="F19" i="11"/>
  <c r="E19" i="11"/>
  <c r="C8" i="10"/>
  <c r="F14" i="14"/>
  <c r="F15" i="14" s="1"/>
  <c r="E14" i="14"/>
  <c r="E15" i="14" s="1"/>
  <c r="D14" i="14"/>
  <c r="D15" i="14" s="1"/>
  <c r="G14" i="14"/>
  <c r="G15" i="14" s="1"/>
  <c r="F9" i="14"/>
  <c r="G24" i="14"/>
  <c r="F6" i="14"/>
  <c r="D5" i="14"/>
  <c r="C5" i="14" s="1"/>
  <c r="E6" i="14"/>
  <c r="F22" i="14"/>
  <c r="F24" i="14"/>
  <c r="E24" i="14" s="1"/>
  <c r="D24" i="14" s="1"/>
  <c r="C24" i="14" s="1"/>
  <c r="F24" i="12"/>
  <c r="E24" i="12" s="1"/>
  <c r="D24" i="12" s="1"/>
  <c r="C24" i="12" s="1"/>
  <c r="F16" i="12"/>
  <c r="F17" i="12" s="1"/>
  <c r="G17" i="11"/>
  <c r="F9" i="12"/>
  <c r="F10" i="12" s="1"/>
  <c r="G10" i="12"/>
  <c r="F6" i="12"/>
  <c r="E5" i="12"/>
  <c r="E6" i="12" s="1"/>
  <c r="G6" i="12"/>
  <c r="E14" i="12"/>
  <c r="E15" i="12" s="1"/>
  <c r="F14" i="12"/>
  <c r="F15" i="12" s="1"/>
  <c r="G14" i="12"/>
  <c r="G15" i="12" s="1"/>
  <c r="D14" i="12"/>
  <c r="F22" i="12"/>
  <c r="F24" i="11"/>
  <c r="E24" i="11" s="1"/>
  <c r="D24" i="11" s="1"/>
  <c r="C24" i="11" s="1"/>
  <c r="G6" i="11"/>
  <c r="G14" i="11"/>
  <c r="G15" i="11" s="1"/>
  <c r="E14" i="11"/>
  <c r="E15" i="11" s="1"/>
  <c r="E5" i="11"/>
  <c r="F6" i="11"/>
  <c r="F22" i="11"/>
  <c r="D15" i="11"/>
  <c r="F9" i="11"/>
  <c r="G14" i="10"/>
  <c r="G15" i="10" s="1"/>
  <c r="N8" i="10"/>
  <c r="F14" i="10" s="1"/>
  <c r="F15" i="10" s="1"/>
  <c r="M8" i="10"/>
  <c r="E14" i="10" s="1"/>
  <c r="E15" i="10" s="1"/>
  <c r="L8" i="10"/>
  <c r="D14" i="10" s="1"/>
  <c r="F24" i="10"/>
  <c r="F9" i="10"/>
  <c r="F10" i="10" s="1"/>
  <c r="G10" i="10"/>
  <c r="F5" i="10"/>
  <c r="F22" i="10"/>
  <c r="E9" i="10"/>
  <c r="F14" i="9"/>
  <c r="F15" i="9" s="1"/>
  <c r="D14" i="9"/>
  <c r="D15" i="9" s="1"/>
  <c r="G10" i="9"/>
  <c r="F9" i="9"/>
  <c r="E5" i="9"/>
  <c r="F6" i="9"/>
  <c r="G6" i="9"/>
  <c r="F22" i="9"/>
  <c r="F22" i="1"/>
  <c r="D17" i="1"/>
  <c r="C17" i="1"/>
  <c r="D15" i="1"/>
  <c r="C15" i="1"/>
  <c r="G15" i="1"/>
  <c r="F7" i="1"/>
  <c r="E18" i="1"/>
  <c r="F18" i="1"/>
  <c r="D18" i="1"/>
  <c r="D19" i="1" s="1"/>
  <c r="F5" i="1"/>
  <c r="E5" i="1" s="1"/>
  <c r="D8" i="1"/>
  <c r="E17" i="1"/>
  <c r="F17" i="1"/>
  <c r="G17" i="1"/>
  <c r="G8" i="1"/>
  <c r="F20" i="14" l="1"/>
  <c r="E20" i="14"/>
  <c r="F20" i="12"/>
  <c r="E20" i="12"/>
  <c r="F20" i="11"/>
  <c r="E20" i="11"/>
  <c r="D20" i="1"/>
  <c r="E19" i="1"/>
  <c r="F19" i="1"/>
  <c r="D5" i="12"/>
  <c r="C5" i="12" s="1"/>
  <c r="E24" i="10"/>
  <c r="C8" i="1"/>
  <c r="E9" i="12"/>
  <c r="D9" i="12" s="1"/>
  <c r="C14" i="14"/>
  <c r="C15" i="14" s="1"/>
  <c r="F10" i="14"/>
  <c r="E9" i="14"/>
  <c r="D6" i="14"/>
  <c r="D6" i="12"/>
  <c r="C14" i="12"/>
  <c r="C15" i="12" s="1"/>
  <c r="D15" i="12"/>
  <c r="C14" i="11"/>
  <c r="C15" i="11" s="1"/>
  <c r="F10" i="11"/>
  <c r="E9" i="11"/>
  <c r="E6" i="11"/>
  <c r="D5" i="11"/>
  <c r="D15" i="10"/>
  <c r="C14" i="10"/>
  <c r="C15" i="10" s="1"/>
  <c r="E5" i="10"/>
  <c r="F6" i="10"/>
  <c r="E10" i="10"/>
  <c r="D9" i="10"/>
  <c r="C14" i="9"/>
  <c r="C15" i="9" s="1"/>
  <c r="F10" i="9"/>
  <c r="E9" i="9"/>
  <c r="D5" i="9"/>
  <c r="E6" i="9"/>
  <c r="E15" i="1"/>
  <c r="F15" i="1"/>
  <c r="F24" i="1"/>
  <c r="G6" i="1"/>
  <c r="F8" i="1"/>
  <c r="E8" i="1"/>
  <c r="G10" i="1"/>
  <c r="F9" i="1"/>
  <c r="D5" i="1"/>
  <c r="C5" i="1" s="1"/>
  <c r="E6" i="1"/>
  <c r="F6" i="1"/>
  <c r="E20" i="1" l="1"/>
  <c r="F20" i="1"/>
  <c r="C6" i="14"/>
  <c r="C6" i="12"/>
  <c r="E10" i="12"/>
  <c r="D24" i="10"/>
  <c r="E24" i="1"/>
  <c r="E10" i="14"/>
  <c r="D9" i="14"/>
  <c r="D10" i="12"/>
  <c r="C9" i="12"/>
  <c r="C5" i="11"/>
  <c r="D6" i="11"/>
  <c r="E10" i="11"/>
  <c r="D9" i="11"/>
  <c r="D5" i="10"/>
  <c r="E6" i="10"/>
  <c r="D10" i="10"/>
  <c r="C9" i="10"/>
  <c r="E10" i="9"/>
  <c r="D9" i="9"/>
  <c r="C5" i="9"/>
  <c r="D6" i="9"/>
  <c r="E9" i="1"/>
  <c r="F10" i="1"/>
  <c r="D6" i="1"/>
  <c r="C6" i="1" s="1"/>
  <c r="C10" i="12" l="1"/>
  <c r="C6" i="11"/>
  <c r="C10" i="10"/>
  <c r="C24" i="10"/>
  <c r="C6" i="9"/>
  <c r="D24" i="1"/>
  <c r="D10" i="14"/>
  <c r="C9" i="14"/>
  <c r="D10" i="11"/>
  <c r="C9" i="11"/>
  <c r="D6" i="10"/>
  <c r="C5" i="10"/>
  <c r="D10" i="9"/>
  <c r="C9" i="9"/>
  <c r="D9" i="1"/>
  <c r="E10" i="1"/>
  <c r="C10" i="14" l="1"/>
  <c r="C10" i="11"/>
  <c r="C6" i="10"/>
  <c r="C10" i="9"/>
  <c r="C24" i="1"/>
  <c r="D10" i="1"/>
  <c r="C9" i="1"/>
  <c r="C10" i="1" l="1"/>
</calcChain>
</file>

<file path=xl/sharedStrings.xml><?xml version="1.0" encoding="utf-8"?>
<sst xmlns="http://schemas.openxmlformats.org/spreadsheetml/2006/main" count="450" uniqueCount="58">
  <si>
    <t>Unit</t>
  </si>
  <si>
    <t>Biomass</t>
  </si>
  <si>
    <t>TWh</t>
  </si>
  <si>
    <t>t (charcoal eq.)</t>
  </si>
  <si>
    <t>Biogas</t>
  </si>
  <si>
    <t>t</t>
  </si>
  <si>
    <t>Resource potential</t>
  </si>
  <si>
    <t>Resource cost</t>
  </si>
  <si>
    <t>€/MWh</t>
  </si>
  <si>
    <t>€/t (charcoal eq.)</t>
  </si>
  <si>
    <t>Electricity</t>
  </si>
  <si>
    <t>Coal</t>
  </si>
  <si>
    <t>Natural Gas</t>
  </si>
  <si>
    <t>Limestone</t>
  </si>
  <si>
    <t>€/t</t>
  </si>
  <si>
    <t>MeOH</t>
  </si>
  <si>
    <t>Oil</t>
  </si>
  <si>
    <t xml:space="preserve">€/t </t>
  </si>
  <si>
    <t>Waste</t>
  </si>
  <si>
    <t>t (4,72kWh/kg assumed)</t>
  </si>
  <si>
    <r>
      <t>Unit (€</t>
    </r>
    <r>
      <rPr>
        <sz val="8"/>
        <color theme="1"/>
        <rFont val="Calibri"/>
        <family val="2"/>
        <scheme val="minor"/>
      </rPr>
      <t>2019</t>
    </r>
    <r>
      <rPr>
        <sz val="11"/>
        <color theme="1"/>
        <rFont val="Calibri"/>
        <family val="2"/>
        <scheme val="minor"/>
      </rPr>
      <t>)</t>
    </r>
  </si>
  <si>
    <t>Irone ore</t>
  </si>
  <si>
    <t>Scrap steel</t>
  </si>
  <si>
    <t>Agriculture residues</t>
  </si>
  <si>
    <t>Intermediate crops</t>
  </si>
  <si>
    <t>Manure</t>
  </si>
  <si>
    <t>Forest wood and residues</t>
  </si>
  <si>
    <t>Pruning</t>
  </si>
  <si>
    <t>Industrial Waste</t>
  </si>
  <si>
    <t>Green Waste</t>
  </si>
  <si>
    <t>Biomass detailed</t>
  </si>
  <si>
    <t>Potential (TWh)</t>
  </si>
  <si>
    <t>Cost (€/MWh)</t>
  </si>
  <si>
    <t>France</t>
  </si>
  <si>
    <r>
      <t xml:space="preserve">Blaisonneau, L., Wiedmer, D., Lefebvre, C., &amp; Bonnin, J. (2018). </t>
    </r>
    <r>
      <rPr>
        <i/>
        <sz val="11"/>
        <color theme="1"/>
        <rFont val="Calibri"/>
        <family val="2"/>
        <scheme val="minor"/>
      </rPr>
      <t>Renforcer la compétitivité de la filière biométhane française</t>
    </r>
    <r>
      <rPr>
        <sz val="11"/>
        <color theme="1"/>
        <rFont val="Calibri"/>
        <family val="2"/>
        <scheme val="minor"/>
      </rPr>
      <t>.</t>
    </r>
  </si>
  <si>
    <r>
      <t xml:space="preserve">Birman, J., Burdloff, J., de Peufeilhoux, H., Erbs, G., Feniou, M., &amp; Lucille, P.-L. (2021). </t>
    </r>
    <r>
      <rPr>
        <i/>
        <sz val="11"/>
        <color theme="1"/>
        <rFont val="Calibri"/>
        <family val="2"/>
        <scheme val="minor"/>
      </rPr>
      <t>Biomethane: potential and cost in 2050</t>
    </r>
    <r>
      <rPr>
        <sz val="11"/>
        <color theme="1"/>
        <rFont val="Calibri"/>
        <family val="2"/>
        <scheme val="minor"/>
      </rPr>
      <t>.</t>
    </r>
  </si>
  <si>
    <r>
      <t xml:space="preserve">Alberici, S., Grimme, W., &amp; Toop, G. (2022). </t>
    </r>
    <r>
      <rPr>
        <i/>
        <sz val="11"/>
        <color theme="1"/>
        <rFont val="Calibri"/>
        <family val="2"/>
        <scheme val="minor"/>
      </rPr>
      <t>A Gas for Climate report Feasibility of REPowerEU 2030 targets, production potentials in the Member Biomethane production potentials in the EU</t>
    </r>
    <r>
      <rPr>
        <sz val="11"/>
        <color theme="1"/>
        <rFont val="Calibri"/>
        <family val="2"/>
        <scheme val="minor"/>
      </rPr>
      <t>. https://gasforclimate2050.eu/</t>
    </r>
  </si>
  <si>
    <r>
      <t>Joint Research Centre Data Catalogue - ENSPRESO - an open data, EU-28 wide, transparent a... - European Commission</t>
    </r>
    <r>
      <rPr>
        <sz val="11"/>
        <color theme="1"/>
        <rFont val="Calibri"/>
        <family val="2"/>
        <scheme val="minor"/>
      </rPr>
      <t>. (n.d.). Retrieved April 12, 2023, from https://data.jrc.ec.europa.eu/collection/id-00138</t>
    </r>
  </si>
  <si>
    <t>Germany</t>
  </si>
  <si>
    <t>Italy</t>
  </si>
  <si>
    <t>Great Britain</t>
  </si>
  <si>
    <t>Spain</t>
  </si>
  <si>
    <t>Belgium</t>
  </si>
  <si>
    <t>Primary steel</t>
  </si>
  <si>
    <t>Secondary steel</t>
  </si>
  <si>
    <t>Mt</t>
  </si>
  <si>
    <t>Olefins</t>
  </si>
  <si>
    <t>Production minimum</t>
  </si>
  <si>
    <t>Ammonia</t>
  </si>
  <si>
    <t>CEM_I Cement</t>
  </si>
  <si>
    <t>CEM_II Cement</t>
  </si>
  <si>
    <t>CEM_III_VI Cement</t>
  </si>
  <si>
    <t>LC3 Cement</t>
  </si>
  <si>
    <t>https://joint-research-centre.ec.europa.eu/potencia/jrc-idees_en</t>
  </si>
  <si>
    <t>https://ec.europa.eu/eurostat/en/</t>
  </si>
  <si>
    <t>Hydrogen (imports)</t>
  </si>
  <si>
    <t>Electricity (50% LF)</t>
  </si>
  <si>
    <t>Electricity (25% 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</si>
</sst>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0" fillId="0" borderId="0" xfId="0" applyFill="1"/>
    <xf numFmtId="43" fontId="0" fillId="0" borderId="0" xfId="1" applyFont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1"/>
  <sheetViews>
    <sheetView workbookViewId="0">
      <selection activeCell="I19" sqref="I19"/>
    </sheetView>
  </sheetViews>
  <sheetFormatPr baseColWidth="10" defaultRowHeight="15" x14ac:dyDescent="0.25"/>
  <cols>
    <col min="1" max="1" width="18" bestFit="1" customWidth="1"/>
    <col min="2" max="2" width="22.5703125" bestFit="1" customWidth="1"/>
    <col min="10" max="10" width="24" bestFit="1" customWidth="1"/>
    <col min="11" max="11" width="16.28515625" bestFit="1" customWidth="1"/>
  </cols>
  <sheetData>
    <row r="1" spans="1:15" x14ac:dyDescent="0.25">
      <c r="A1" s="16" t="s">
        <v>33</v>
      </c>
      <c r="B1" s="16"/>
      <c r="C1" s="16"/>
      <c r="D1" s="16"/>
      <c r="E1" s="16"/>
      <c r="F1" s="16"/>
      <c r="G1" s="16"/>
      <c r="K1" s="14" t="s">
        <v>30</v>
      </c>
      <c r="L1" s="14"/>
      <c r="M1" s="14"/>
      <c r="N1" s="14"/>
      <c r="O1" s="14"/>
    </row>
    <row r="2" spans="1:15" x14ac:dyDescent="0.25">
      <c r="A2" s="16"/>
      <c r="B2" s="16"/>
      <c r="C2" s="16"/>
      <c r="D2" s="16"/>
      <c r="E2" s="16"/>
      <c r="F2" s="16"/>
      <c r="G2" s="16"/>
      <c r="K2" s="15" t="s">
        <v>31</v>
      </c>
      <c r="L2" s="15" t="s">
        <v>32</v>
      </c>
      <c r="M2" s="15"/>
      <c r="N2" s="15"/>
      <c r="O2" s="15"/>
    </row>
    <row r="3" spans="1:15" x14ac:dyDescent="0.25">
      <c r="A3" s="15"/>
      <c r="B3" s="14" t="s">
        <v>6</v>
      </c>
      <c r="C3" s="14"/>
      <c r="D3" s="14"/>
      <c r="E3" s="14"/>
      <c r="F3" s="14"/>
      <c r="G3" s="14"/>
      <c r="K3" s="15"/>
      <c r="L3">
        <v>2020</v>
      </c>
      <c r="M3">
        <v>2030</v>
      </c>
      <c r="N3">
        <v>2040</v>
      </c>
      <c r="O3">
        <v>2050</v>
      </c>
    </row>
    <row r="4" spans="1:15" x14ac:dyDescent="0.25">
      <c r="A4" s="15"/>
      <c r="B4" t="s">
        <v>0</v>
      </c>
      <c r="C4">
        <v>2015</v>
      </c>
      <c r="D4">
        <v>2020</v>
      </c>
      <c r="E4">
        <v>2030</v>
      </c>
      <c r="F4">
        <v>2040</v>
      </c>
      <c r="G4">
        <v>2050</v>
      </c>
      <c r="J4" t="s">
        <v>23</v>
      </c>
      <c r="K4" s="3">
        <v>38</v>
      </c>
      <c r="L4" s="3">
        <f>1.13*3.37804*3.6</f>
        <v>13.741866719999999</v>
      </c>
      <c r="M4" s="3">
        <f>1.13*3.12202*3.6</f>
        <v>12.700377359999999</v>
      </c>
      <c r="N4" s="3">
        <f>1.13*2.8916*3.6</f>
        <v>11.763028799999999</v>
      </c>
      <c r="O4" s="3">
        <f>1.13*2.68423*3.6</f>
        <v>10.919447639999998</v>
      </c>
    </row>
    <row r="5" spans="1:15" x14ac:dyDescent="0.25">
      <c r="A5" s="17" t="s">
        <v>1</v>
      </c>
      <c r="B5" t="s">
        <v>2</v>
      </c>
      <c r="C5">
        <f t="shared" ref="C5:F9" si="0">D5</f>
        <v>206.07</v>
      </c>
      <c r="D5">
        <f t="shared" si="0"/>
        <v>206.07</v>
      </c>
      <c r="E5">
        <f t="shared" si="0"/>
        <v>206.07</v>
      </c>
      <c r="F5">
        <f t="shared" si="0"/>
        <v>206.07</v>
      </c>
      <c r="G5" s="4">
        <f>SUM(K4:K8)</f>
        <v>206.07</v>
      </c>
      <c r="J5" t="s">
        <v>24</v>
      </c>
      <c r="K5" s="3">
        <v>62.6</v>
      </c>
      <c r="L5" s="3">
        <f>1.13*3.6*(3.78555+5.78362)/2</f>
        <v>19.463691779999998</v>
      </c>
      <c r="M5" s="3">
        <f>1.13*3.6*(4.03803+5.22031)/2</f>
        <v>18.83146356</v>
      </c>
      <c r="N5" s="3">
        <f>1.13*3.6*(4.06318+5.07595)/2</f>
        <v>18.588990419999998</v>
      </c>
      <c r="O5" s="3">
        <f>1.13*3.6*(4.08834+4.94843)/2</f>
        <v>18.380790179999998</v>
      </c>
    </row>
    <row r="6" spans="1:15" x14ac:dyDescent="0.25">
      <c r="A6" s="17"/>
      <c r="B6" t="s">
        <v>3</v>
      </c>
      <c r="C6" s="2">
        <f t="shared" ref="C6" si="1">D6</f>
        <v>26117870.722433463</v>
      </c>
      <c r="D6" s="2">
        <f t="shared" ref="D6:F6" si="2">D5*1000000/7.89</f>
        <v>26117870.722433463</v>
      </c>
      <c r="E6" s="2">
        <f t="shared" si="2"/>
        <v>26117870.722433463</v>
      </c>
      <c r="F6" s="2">
        <f t="shared" si="2"/>
        <v>26117870.722433463</v>
      </c>
      <c r="G6" s="2">
        <f>G5*1000000/7.89</f>
        <v>26117870.722433463</v>
      </c>
      <c r="J6" t="s">
        <v>25</v>
      </c>
      <c r="K6" s="3">
        <v>30.4</v>
      </c>
      <c r="L6" s="3">
        <f>1.13*6.24227*3.6</f>
        <v>25.39355436</v>
      </c>
      <c r="M6" s="3">
        <f>1.13*6.22664*3.6</f>
        <v>25.329971519999997</v>
      </c>
      <c r="N6" s="3">
        <f>1.13*6.2157*3.6</f>
        <v>25.285467599999997</v>
      </c>
      <c r="O6" s="3">
        <f>1.13*6.20348*3.6</f>
        <v>25.235756639999998</v>
      </c>
    </row>
    <row r="7" spans="1:15" x14ac:dyDescent="0.25">
      <c r="A7" s="17" t="s">
        <v>4</v>
      </c>
      <c r="B7" t="s">
        <v>2</v>
      </c>
      <c r="C7" s="3">
        <v>0</v>
      </c>
      <c r="D7" s="3">
        <v>0</v>
      </c>
      <c r="E7" s="3">
        <v>69</v>
      </c>
      <c r="F7">
        <f>(G7+E7)/2</f>
        <v>149.5</v>
      </c>
      <c r="G7" s="3">
        <v>230</v>
      </c>
      <c r="J7" t="s">
        <v>26</v>
      </c>
      <c r="K7" s="3">
        <v>71.12</v>
      </c>
      <c r="L7" s="3">
        <f>1.13*3.6*(4.78709+10.0188)/2</f>
        <v>30.115180259999999</v>
      </c>
      <c r="M7" s="3">
        <f>1.13*3.6*(4.34898+9.06668)/2</f>
        <v>27.287452439999996</v>
      </c>
      <c r="N7" s="3">
        <f>1.13*3.6*(3.95418+8.21053)/2</f>
        <v>24.743020139999995</v>
      </c>
      <c r="O7" s="3">
        <f>1.13*3.6*(3.59934+7.43993)/2</f>
        <v>22.453875179999997</v>
      </c>
    </row>
    <row r="8" spans="1:15" x14ac:dyDescent="0.25">
      <c r="A8" s="17"/>
      <c r="B8" t="s">
        <v>5</v>
      </c>
      <c r="C8" s="2">
        <f t="shared" ref="C8" si="3">D8</f>
        <v>0</v>
      </c>
      <c r="D8" s="2">
        <f t="shared" ref="D8:F8" si="4">D7*1000000/13.1</f>
        <v>0</v>
      </c>
      <c r="E8" s="2">
        <f t="shared" si="4"/>
        <v>5267175.5725190844</v>
      </c>
      <c r="F8" s="2">
        <f t="shared" si="4"/>
        <v>11412213.740458015</v>
      </c>
      <c r="G8" s="2">
        <f>G7*1000000/13.1</f>
        <v>17557251.908396948</v>
      </c>
      <c r="J8" t="s">
        <v>27</v>
      </c>
      <c r="K8" s="3">
        <v>3.95</v>
      </c>
      <c r="L8" s="3">
        <f>L7</f>
        <v>30.115180259999999</v>
      </c>
      <c r="M8" s="3">
        <f t="shared" ref="M8:O8" si="5">M7</f>
        <v>27.287452439999996</v>
      </c>
      <c r="N8" s="3">
        <f t="shared" si="5"/>
        <v>24.743020139999995</v>
      </c>
      <c r="O8" s="3">
        <f t="shared" si="5"/>
        <v>22.453875179999997</v>
      </c>
    </row>
    <row r="9" spans="1:15" x14ac:dyDescent="0.25">
      <c r="A9" s="17" t="s">
        <v>18</v>
      </c>
      <c r="B9" t="s">
        <v>2</v>
      </c>
      <c r="C9">
        <f t="shared" ref="C9" si="6">D9</f>
        <v>27.189999999999998</v>
      </c>
      <c r="D9">
        <f t="shared" si="0"/>
        <v>27.189999999999998</v>
      </c>
      <c r="E9">
        <f t="shared" si="0"/>
        <v>27.189999999999998</v>
      </c>
      <c r="F9">
        <f t="shared" si="0"/>
        <v>27.189999999999998</v>
      </c>
      <c r="G9" s="4">
        <f>SUM(K9:K10)</f>
        <v>27.189999999999998</v>
      </c>
      <c r="J9" t="s">
        <v>28</v>
      </c>
      <c r="K9" s="3">
        <v>6.58</v>
      </c>
      <c r="L9" s="4"/>
      <c r="M9" s="4"/>
      <c r="N9" s="4"/>
      <c r="O9" s="4"/>
    </row>
    <row r="10" spans="1:15" x14ac:dyDescent="0.25">
      <c r="A10" s="17"/>
      <c r="B10" t="s">
        <v>19</v>
      </c>
      <c r="C10" s="2">
        <f t="shared" ref="C10" si="7">D10</f>
        <v>5760593.2203389825</v>
      </c>
      <c r="D10" s="2">
        <f t="shared" ref="D10:F10" si="8">D9*1000000/4.72</f>
        <v>5760593.2203389825</v>
      </c>
      <c r="E10" s="2">
        <f t="shared" si="8"/>
        <v>5760593.2203389825</v>
      </c>
      <c r="F10" s="2">
        <f t="shared" si="8"/>
        <v>5760593.2203389825</v>
      </c>
      <c r="G10" s="2">
        <f>G9*1000000/4.72</f>
        <v>5760593.2203389825</v>
      </c>
      <c r="J10" t="s">
        <v>29</v>
      </c>
      <c r="K10" s="3">
        <v>20.61</v>
      </c>
      <c r="L10" s="4"/>
      <c r="M10" s="4"/>
      <c r="N10" s="4"/>
      <c r="O10" s="4"/>
    </row>
    <row r="12" spans="1:15" x14ac:dyDescent="0.25">
      <c r="A12" s="15"/>
      <c r="B12" s="14" t="s">
        <v>7</v>
      </c>
      <c r="C12" s="14"/>
      <c r="D12" s="14"/>
      <c r="E12" s="14"/>
      <c r="F12" s="14"/>
      <c r="G12" s="14"/>
    </row>
    <row r="13" spans="1:15" x14ac:dyDescent="0.25">
      <c r="A13" s="15"/>
      <c r="B13" t="s">
        <v>20</v>
      </c>
      <c r="C13">
        <v>2015</v>
      </c>
      <c r="D13">
        <v>2020</v>
      </c>
      <c r="E13">
        <v>2030</v>
      </c>
      <c r="F13">
        <v>2040</v>
      </c>
      <c r="G13">
        <v>2050</v>
      </c>
    </row>
    <row r="14" spans="1:15" x14ac:dyDescent="0.25">
      <c r="A14" s="17" t="s">
        <v>1</v>
      </c>
      <c r="B14" t="s">
        <v>8</v>
      </c>
      <c r="C14" s="4">
        <f>(D14-G14)/(G13-D13)*5+D14</f>
        <v>23.774239207506184</v>
      </c>
      <c r="D14" s="4">
        <f t="shared" ref="D14:F14" si="9">SUMPRODUCT($K$4:$K$8,L4:L8)/SUM($K$4:$K$8)</f>
        <v>23.16362728902897</v>
      </c>
      <c r="E14" s="4">
        <f t="shared" si="9"/>
        <v>21.740011391346627</v>
      </c>
      <c r="F14" s="4">
        <f t="shared" si="9"/>
        <v>20.560016652796623</v>
      </c>
      <c r="G14" s="4">
        <f>SUMPRODUCT($K$4:$K$8,O4:O8)/SUM($K$4:$K$8)</f>
        <v>19.49995577816567</v>
      </c>
      <c r="H14" s="4"/>
    </row>
    <row r="15" spans="1:15" x14ac:dyDescent="0.25">
      <c r="A15" s="17"/>
      <c r="B15" t="s">
        <v>9</v>
      </c>
      <c r="C15" s="5">
        <f t="shared" ref="C15:F15" si="10">C14*7.89</f>
        <v>187.57874734722378</v>
      </c>
      <c r="D15" s="5">
        <f t="shared" si="10"/>
        <v>182.76101931043857</v>
      </c>
      <c r="E15" s="5">
        <f t="shared" si="10"/>
        <v>171.52868987772487</v>
      </c>
      <c r="F15" s="5">
        <f t="shared" si="10"/>
        <v>162.21853139056535</v>
      </c>
      <c r="G15" s="5">
        <f>G14*7.89</f>
        <v>153.85465108972713</v>
      </c>
    </row>
    <row r="16" spans="1:15" x14ac:dyDescent="0.25">
      <c r="A16" s="17" t="s">
        <v>4</v>
      </c>
      <c r="B16" t="s">
        <v>8</v>
      </c>
      <c r="C16">
        <v>122</v>
      </c>
      <c r="D16" s="3">
        <v>122</v>
      </c>
      <c r="E16" s="3">
        <v>82</v>
      </c>
      <c r="F16" s="4">
        <f>G16*0.5+E16*0.5</f>
        <v>70.599999999999994</v>
      </c>
      <c r="G16" s="3">
        <f>(58.3+42.5)/2*4/12+(68.9+58.3)/2*8/12</f>
        <v>59.2</v>
      </c>
    </row>
    <row r="17" spans="1:7" x14ac:dyDescent="0.25">
      <c r="A17" s="17"/>
      <c r="B17" t="s">
        <v>14</v>
      </c>
      <c r="C17">
        <f t="shared" ref="C17:F17" si="11">C16*13.1</f>
        <v>1598.2</v>
      </c>
      <c r="D17">
        <f t="shared" si="11"/>
        <v>1598.2</v>
      </c>
      <c r="E17">
        <f t="shared" si="11"/>
        <v>1074.2</v>
      </c>
      <c r="F17">
        <f t="shared" si="11"/>
        <v>924.8599999999999</v>
      </c>
      <c r="G17">
        <f>G16*13.1</f>
        <v>775.52</v>
      </c>
    </row>
    <row r="18" spans="1:7" x14ac:dyDescent="0.25">
      <c r="A18" s="1" t="s">
        <v>10</v>
      </c>
      <c r="B18" t="s">
        <v>8</v>
      </c>
      <c r="C18" s="3">
        <v>75</v>
      </c>
      <c r="D18">
        <f>($G$18-$C$18)/($G$13-$C$13)*(D13-$C$13)+$C$18</f>
        <v>82.142857142857139</v>
      </c>
      <c r="E18">
        <f>($G$18-$C$18)/($G$13-$C$13)*(E13-$C$13)+$C$18</f>
        <v>96.428571428571431</v>
      </c>
      <c r="F18">
        <f>($G$18-$C$18)/($G$13-$C$13)*(F13-$C$13)+$C$18</f>
        <v>110.71428571428572</v>
      </c>
      <c r="G18" s="3">
        <v>125</v>
      </c>
    </row>
    <row r="19" spans="1:7" x14ac:dyDescent="0.25">
      <c r="A19" s="12" t="s">
        <v>56</v>
      </c>
      <c r="B19" t="s">
        <v>8</v>
      </c>
      <c r="C19" s="3">
        <f>C18</f>
        <v>75</v>
      </c>
      <c r="D19" s="13">
        <f>D18*0.7</f>
        <v>57.499999999999993</v>
      </c>
      <c r="E19">
        <f>($G$19-$D$19)/($G$13-$D$13)*(E$13-$D$13)+$D$19</f>
        <v>51.666666666666664</v>
      </c>
      <c r="F19">
        <f>($G$19-$D$19)/($G$13-$D$13)*(F$13-$D$13)+$D$19</f>
        <v>45.833333333333329</v>
      </c>
      <c r="G19" s="3">
        <v>40</v>
      </c>
    </row>
    <row r="20" spans="1:7" x14ac:dyDescent="0.25">
      <c r="A20" s="12" t="s">
        <v>57</v>
      </c>
      <c r="B20" t="s">
        <v>8</v>
      </c>
      <c r="C20" s="3">
        <f>C19</f>
        <v>75</v>
      </c>
      <c r="D20" s="13">
        <f>D19*0.8</f>
        <v>46</v>
      </c>
      <c r="E20">
        <f>($G$20-$D$20)/($G$13-$D$13)*(E$13-$D$13)+$D$20</f>
        <v>37.333333333333329</v>
      </c>
      <c r="F20">
        <f>($G$20-$D$20)/($G$13-$D$13)*(F$13-$D$13)+$D$20</f>
        <v>28.666666666666664</v>
      </c>
      <c r="G20" s="3">
        <v>20</v>
      </c>
    </row>
    <row r="21" spans="1:7" x14ac:dyDescent="0.25">
      <c r="A21" s="1" t="s">
        <v>11</v>
      </c>
      <c r="B21" t="s">
        <v>17</v>
      </c>
      <c r="C21" s="3">
        <v>60</v>
      </c>
      <c r="D21" s="3">
        <v>80</v>
      </c>
      <c r="E21" s="3">
        <v>100</v>
      </c>
      <c r="F21" s="3">
        <v>120</v>
      </c>
      <c r="G21" s="3">
        <v>120</v>
      </c>
    </row>
    <row r="22" spans="1:7" x14ac:dyDescent="0.25">
      <c r="A22" s="1" t="s">
        <v>12</v>
      </c>
      <c r="B22" t="s">
        <v>17</v>
      </c>
      <c r="C22" s="3">
        <v>495</v>
      </c>
      <c r="D22" s="3">
        <v>495</v>
      </c>
      <c r="E22" s="3">
        <f>D22*1.5</f>
        <v>742.5</v>
      </c>
      <c r="F22" s="3">
        <f>E22</f>
        <v>742.5</v>
      </c>
      <c r="G22" s="3">
        <f>E22</f>
        <v>742.5</v>
      </c>
    </row>
    <row r="23" spans="1:7" x14ac:dyDescent="0.25">
      <c r="A23" s="1" t="s">
        <v>16</v>
      </c>
      <c r="B23" t="s">
        <v>17</v>
      </c>
      <c r="C23" s="3">
        <v>664</v>
      </c>
      <c r="D23" s="3">
        <v>664</v>
      </c>
      <c r="E23" s="3">
        <v>664</v>
      </c>
      <c r="F23" s="3">
        <v>664</v>
      </c>
      <c r="G23" s="3">
        <v>664</v>
      </c>
    </row>
    <row r="24" spans="1:7" x14ac:dyDescent="0.25">
      <c r="A24" s="1" t="s">
        <v>18</v>
      </c>
      <c r="B24" t="s">
        <v>14</v>
      </c>
      <c r="C24">
        <f t="shared" ref="C24:F24" si="12">D24</f>
        <v>11.468528870908424</v>
      </c>
      <c r="D24">
        <f t="shared" si="12"/>
        <v>11.468528870908424</v>
      </c>
      <c r="E24">
        <f t="shared" si="12"/>
        <v>11.468528870908424</v>
      </c>
      <c r="F24">
        <f t="shared" si="12"/>
        <v>11.468528870908424</v>
      </c>
      <c r="G24" s="3">
        <f>K10*15.13/G9</f>
        <v>11.468528870908424</v>
      </c>
    </row>
    <row r="25" spans="1:7" x14ac:dyDescent="0.25">
      <c r="A25" s="1" t="s">
        <v>15</v>
      </c>
      <c r="B25" t="s">
        <v>14</v>
      </c>
      <c r="C25" s="3">
        <v>700</v>
      </c>
      <c r="D25">
        <f>C25</f>
        <v>700</v>
      </c>
      <c r="E25">
        <f>($G$25-$D$25)/($G$13-$D$13)*(E$13-$D$13)+$D$25</f>
        <v>700</v>
      </c>
      <c r="F25">
        <f>($G$25-$D$25)/($G$13-$D$13)*(F$13-$D$13)+$D$25</f>
        <v>700</v>
      </c>
      <c r="G25" s="3">
        <v>700</v>
      </c>
    </row>
    <row r="26" spans="1:7" x14ac:dyDescent="0.25">
      <c r="A26" s="1" t="s">
        <v>13</v>
      </c>
      <c r="B26" t="s">
        <v>14</v>
      </c>
      <c r="C26">
        <v>20</v>
      </c>
      <c r="D26">
        <v>20</v>
      </c>
      <c r="E26">
        <v>20</v>
      </c>
      <c r="F26">
        <v>20</v>
      </c>
      <c r="G26">
        <v>20</v>
      </c>
    </row>
    <row r="27" spans="1:7" x14ac:dyDescent="0.25">
      <c r="A27" s="1" t="s">
        <v>21</v>
      </c>
      <c r="B27" t="s">
        <v>14</v>
      </c>
      <c r="C27">
        <v>100</v>
      </c>
      <c r="D27">
        <v>100</v>
      </c>
      <c r="E27">
        <v>100</v>
      </c>
      <c r="F27">
        <v>100</v>
      </c>
      <c r="G27">
        <v>100</v>
      </c>
    </row>
    <row r="28" spans="1:7" x14ac:dyDescent="0.25">
      <c r="A28" s="1" t="s">
        <v>22</v>
      </c>
      <c r="B28" t="s">
        <v>14</v>
      </c>
      <c r="C28">
        <v>180</v>
      </c>
      <c r="D28">
        <v>180</v>
      </c>
      <c r="E28">
        <v>180</v>
      </c>
      <c r="F28">
        <v>180</v>
      </c>
      <c r="G28">
        <v>180</v>
      </c>
    </row>
    <row r="29" spans="1:7" x14ac:dyDescent="0.25">
      <c r="A29" s="11" t="s">
        <v>55</v>
      </c>
      <c r="B29" t="s">
        <v>14</v>
      </c>
      <c r="C29" s="3">
        <v>10000</v>
      </c>
      <c r="D29" s="3">
        <v>6000</v>
      </c>
      <c r="E29" s="3">
        <v>4000</v>
      </c>
      <c r="F29" s="3">
        <v>3000</v>
      </c>
      <c r="G29" s="3">
        <v>3000</v>
      </c>
    </row>
    <row r="31" spans="1:7" x14ac:dyDescent="0.25">
      <c r="C31" s="14" t="s">
        <v>47</v>
      </c>
      <c r="D31" s="14"/>
      <c r="E31" s="14"/>
      <c r="F31" s="14"/>
      <c r="G31" s="14"/>
    </row>
    <row r="32" spans="1:7" x14ac:dyDescent="0.25">
      <c r="B32" s="7" t="s">
        <v>0</v>
      </c>
      <c r="C32">
        <v>2015</v>
      </c>
      <c r="D32">
        <v>2020</v>
      </c>
      <c r="E32">
        <v>2030</v>
      </c>
      <c r="F32">
        <v>2040</v>
      </c>
      <c r="G32">
        <v>2050</v>
      </c>
    </row>
    <row r="33" spans="1:10" x14ac:dyDescent="0.25">
      <c r="A33" s="9" t="s">
        <v>43</v>
      </c>
      <c r="B33" s="8" t="s">
        <v>45</v>
      </c>
      <c r="C33">
        <v>9.8000000000000007</v>
      </c>
      <c r="D33">
        <v>9.8000000000000007</v>
      </c>
      <c r="E33">
        <f>D33</f>
        <v>9.8000000000000007</v>
      </c>
      <c r="F33">
        <f>(E33+G33)/2</f>
        <v>8.65</v>
      </c>
      <c r="G33">
        <f>0.5*($D$33+$D$34)</f>
        <v>7.5</v>
      </c>
    </row>
    <row r="34" spans="1:10" x14ac:dyDescent="0.25">
      <c r="A34" s="9" t="s">
        <v>44</v>
      </c>
      <c r="B34" s="8" t="s">
        <v>45</v>
      </c>
      <c r="C34">
        <v>5.2</v>
      </c>
      <c r="D34">
        <v>5.2</v>
      </c>
      <c r="E34">
        <f>D34</f>
        <v>5.2</v>
      </c>
      <c r="F34">
        <f>(E34+G34)/2</f>
        <v>6.35</v>
      </c>
      <c r="G34">
        <f>0.5*($D$33+$D$34)</f>
        <v>7.5</v>
      </c>
    </row>
    <row r="35" spans="1:10" x14ac:dyDescent="0.25">
      <c r="A35" s="9" t="s">
        <v>46</v>
      </c>
      <c r="B35" s="8" t="s">
        <v>45</v>
      </c>
      <c r="C35">
        <v>4.4000000000000004</v>
      </c>
      <c r="D35">
        <v>4.4000000000000004</v>
      </c>
      <c r="E35">
        <f>($G35-$D35)/($G$32-$D$32)*(E$32-$D$32)+$D35</f>
        <v>3.8133333333333335</v>
      </c>
      <c r="F35">
        <f>($G35-$D35)/($G$32-$D$32)*(F$32-$D$32)+$D35</f>
        <v>3.226666666666667</v>
      </c>
      <c r="G35">
        <f>0.6*C35</f>
        <v>2.64</v>
      </c>
    </row>
    <row r="36" spans="1:10" x14ac:dyDescent="0.25">
      <c r="A36" s="9" t="s">
        <v>15</v>
      </c>
      <c r="B36" s="8" t="s">
        <v>45</v>
      </c>
      <c r="C36">
        <v>1.4E-2</v>
      </c>
      <c r="D36">
        <v>1.4E-2</v>
      </c>
      <c r="E36">
        <v>1.4E-2</v>
      </c>
      <c r="F36">
        <v>1.4E-2</v>
      </c>
      <c r="G36">
        <v>1.4E-2</v>
      </c>
    </row>
    <row r="37" spans="1:10" x14ac:dyDescent="0.25">
      <c r="A37" s="9" t="s">
        <v>48</v>
      </c>
      <c r="B37" s="8" t="s">
        <v>45</v>
      </c>
      <c r="C37">
        <v>0.8</v>
      </c>
      <c r="D37">
        <v>0.6</v>
      </c>
      <c r="E37">
        <f>($G37-$D37)/($G$32-$D$32)*(E$32-$D$32)+$D37</f>
        <v>0.39999999999999997</v>
      </c>
      <c r="F37">
        <f>($G37-$D37)/($G$32-$D$32)*(F$32-$D$32)+$D37</f>
        <v>0.19999999999999996</v>
      </c>
      <c r="G37">
        <v>0</v>
      </c>
    </row>
    <row r="38" spans="1:10" x14ac:dyDescent="0.25">
      <c r="A38" s="9" t="s">
        <v>49</v>
      </c>
      <c r="B38" s="8" t="s">
        <v>45</v>
      </c>
      <c r="C38">
        <f>16*0.23</f>
        <v>3.68</v>
      </c>
      <c r="D38">
        <f>C38</f>
        <v>3.68</v>
      </c>
      <c r="E38">
        <f>SUM($C$38:$C$41)*0.125</f>
        <v>2</v>
      </c>
      <c r="F38">
        <f>($G38-$E38)/($G$32-$E$32)*(F$32-$E$32)+$E38</f>
        <v>1.5249999999999999</v>
      </c>
      <c r="G38">
        <f>0.075*0.875*SUM($C$38:$C$41)</f>
        <v>1.05</v>
      </c>
    </row>
    <row r="39" spans="1:10" x14ac:dyDescent="0.25">
      <c r="A39" s="9" t="s">
        <v>50</v>
      </c>
      <c r="B39" s="8" t="s">
        <v>45</v>
      </c>
      <c r="C39">
        <f>16*0.565</f>
        <v>9.0399999999999991</v>
      </c>
      <c r="D39">
        <f t="shared" ref="D39:D41" si="13">C39</f>
        <v>9.0399999999999991</v>
      </c>
      <c r="E39">
        <f>SUM($C$38:$C$41)*0.3</f>
        <v>4.8</v>
      </c>
      <c r="F39">
        <f t="shared" ref="F39:F40" si="14">($G39-$E39)/($G$32-$E$32)*(F$32-$E$32)+$E39</f>
        <v>3.45</v>
      </c>
      <c r="G39">
        <f>0.15*0.875*SUM($C$38:$C$41)</f>
        <v>2.1</v>
      </c>
    </row>
    <row r="40" spans="1:10" x14ac:dyDescent="0.25">
      <c r="A40" s="9" t="s">
        <v>51</v>
      </c>
      <c r="B40" s="8" t="s">
        <v>45</v>
      </c>
      <c r="C40">
        <f>16-C38-C39</f>
        <v>3.2800000000000011</v>
      </c>
      <c r="D40">
        <f t="shared" si="13"/>
        <v>3.2800000000000011</v>
      </c>
      <c r="E40">
        <f>SUM($C$38:$C$41)-E38-E39-E41</f>
        <v>5.1999999999999993</v>
      </c>
      <c r="F40">
        <f t="shared" si="14"/>
        <v>5.2249999999999996</v>
      </c>
      <c r="G40">
        <f>0.875*SUM($C$38:$C$41)-G38-G39-G41</f>
        <v>5.2499999999999991</v>
      </c>
      <c r="J40" s="2"/>
    </row>
    <row r="41" spans="1:10" x14ac:dyDescent="0.25">
      <c r="A41" s="9" t="s">
        <v>52</v>
      </c>
      <c r="B41" s="8" t="s">
        <v>45</v>
      </c>
      <c r="C41">
        <v>0</v>
      </c>
      <c r="D41">
        <f t="shared" si="13"/>
        <v>0</v>
      </c>
      <c r="E41">
        <f>SUM($C$38:$C$41)*0.25</f>
        <v>4</v>
      </c>
      <c r="F41">
        <f>($G41-$E41)/($G$32-$E$32)*(F$32-$E$32)+$E41</f>
        <v>4.8000000000000007</v>
      </c>
      <c r="G41">
        <f>0.4*0.875*SUM($C$38:$C$41)</f>
        <v>5.6000000000000005</v>
      </c>
    </row>
  </sheetData>
  <mergeCells count="14">
    <mergeCell ref="C31:G31"/>
    <mergeCell ref="L2:O2"/>
    <mergeCell ref="K1:O1"/>
    <mergeCell ref="A1:G2"/>
    <mergeCell ref="A14:A15"/>
    <mergeCell ref="A16:A17"/>
    <mergeCell ref="A9:A10"/>
    <mergeCell ref="K2:K3"/>
    <mergeCell ref="A5:A6"/>
    <mergeCell ref="A7:A8"/>
    <mergeCell ref="B3:G3"/>
    <mergeCell ref="A3:A4"/>
    <mergeCell ref="A12:A13"/>
    <mergeCell ref="B12:G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topLeftCell="A7" workbookViewId="0">
      <selection activeCell="G20" sqref="G20"/>
    </sheetView>
  </sheetViews>
  <sheetFormatPr baseColWidth="10" defaultRowHeight="15" x14ac:dyDescent="0.25"/>
  <cols>
    <col min="1" max="1" width="17" bestFit="1" customWidth="1"/>
    <col min="2" max="2" width="22.5703125" bestFit="1" customWidth="1"/>
    <col min="3" max="3" width="13.28515625" bestFit="1" customWidth="1"/>
    <col min="10" max="10" width="24" bestFit="1" customWidth="1"/>
    <col min="11" max="11" width="16.28515625" bestFit="1" customWidth="1"/>
  </cols>
  <sheetData>
    <row r="1" spans="1:15" x14ac:dyDescent="0.25">
      <c r="A1" s="16" t="s">
        <v>38</v>
      </c>
      <c r="B1" s="16"/>
      <c r="C1" s="16"/>
      <c r="D1" s="16"/>
      <c r="E1" s="16"/>
      <c r="F1" s="16"/>
      <c r="G1" s="16"/>
      <c r="K1" s="15" t="s">
        <v>30</v>
      </c>
      <c r="L1" s="15"/>
      <c r="M1" s="15"/>
      <c r="N1" s="15"/>
      <c r="O1" s="15"/>
    </row>
    <row r="2" spans="1:15" x14ac:dyDescent="0.25">
      <c r="A2" s="16"/>
      <c r="B2" s="16"/>
      <c r="C2" s="16"/>
      <c r="D2" s="16"/>
      <c r="E2" s="16"/>
      <c r="F2" s="16"/>
      <c r="G2" s="16"/>
      <c r="K2" s="15" t="s">
        <v>31</v>
      </c>
      <c r="L2" s="15" t="s">
        <v>32</v>
      </c>
      <c r="M2" s="15"/>
      <c r="N2" s="15"/>
      <c r="O2" s="15"/>
    </row>
    <row r="3" spans="1:15" x14ac:dyDescent="0.25">
      <c r="A3" s="15"/>
      <c r="B3" s="15" t="s">
        <v>6</v>
      </c>
      <c r="C3" s="15"/>
      <c r="D3" s="15"/>
      <c r="E3" s="15"/>
      <c r="F3" s="15"/>
      <c r="G3" s="15"/>
      <c r="K3" s="15"/>
      <c r="L3">
        <v>2020</v>
      </c>
      <c r="M3">
        <v>2030</v>
      </c>
      <c r="N3">
        <v>2040</v>
      </c>
      <c r="O3">
        <v>2050</v>
      </c>
    </row>
    <row r="4" spans="1:15" x14ac:dyDescent="0.25">
      <c r="A4" s="15"/>
      <c r="B4" t="s">
        <v>0</v>
      </c>
      <c r="C4">
        <v>2015</v>
      </c>
      <c r="D4">
        <v>2020</v>
      </c>
      <c r="E4">
        <v>2030</v>
      </c>
      <c r="F4">
        <v>2040</v>
      </c>
      <c r="G4">
        <v>2050</v>
      </c>
      <c r="J4" t="s">
        <v>23</v>
      </c>
      <c r="K4" s="3">
        <v>21.83</v>
      </c>
      <c r="L4" s="3">
        <f>1.13*4.644193*3.6</f>
        <v>18.892577123999995</v>
      </c>
      <c r="M4" s="3">
        <f>1.13*4.356627*3.6</f>
        <v>17.722758635999995</v>
      </c>
      <c r="N4" s="3">
        <f>1.13*4.26657*3.6</f>
        <v>17.356406759999999</v>
      </c>
      <c r="O4" s="3">
        <f>1.13*4.28978*3.6</f>
        <v>17.450825039999998</v>
      </c>
    </row>
    <row r="5" spans="1:15" x14ac:dyDescent="0.25">
      <c r="A5" s="17" t="s">
        <v>1</v>
      </c>
      <c r="B5" t="s">
        <v>2</v>
      </c>
      <c r="C5">
        <f t="shared" ref="C5:F9" si="0">D5</f>
        <v>183.14999999999998</v>
      </c>
      <c r="D5">
        <f t="shared" si="0"/>
        <v>183.14999999999998</v>
      </c>
      <c r="E5">
        <f t="shared" si="0"/>
        <v>183.14999999999998</v>
      </c>
      <c r="F5">
        <f t="shared" si="0"/>
        <v>183.14999999999998</v>
      </c>
      <c r="G5" s="4">
        <f>SUM(K4:K8)</f>
        <v>183.14999999999998</v>
      </c>
      <c r="J5" t="s">
        <v>24</v>
      </c>
      <c r="K5" s="3">
        <v>41.04</v>
      </c>
      <c r="L5" s="3">
        <f>1.13*3.6*6.152658</f>
        <v>25.029012743999996</v>
      </c>
      <c r="M5" s="3">
        <f>1.13*3.6*5.620216</f>
        <v>22.863038688</v>
      </c>
      <c r="N5" s="3">
        <f>1.13*3.6*5.463106</f>
        <v>22.223915207999998</v>
      </c>
      <c r="O5" s="3">
        <f>1.13*3.6*5.323171</f>
        <v>21.654659628000001</v>
      </c>
    </row>
    <row r="6" spans="1:15" x14ac:dyDescent="0.25">
      <c r="A6" s="17"/>
      <c r="B6" t="s">
        <v>3</v>
      </c>
      <c r="C6" s="2">
        <f t="shared" si="0"/>
        <v>23212927.756653991</v>
      </c>
      <c r="D6" s="2">
        <f t="shared" ref="D6:F6" si="1">D5*1000000/7.89</f>
        <v>23212927.756653991</v>
      </c>
      <c r="E6" s="2">
        <f t="shared" si="1"/>
        <v>23212927.756653991</v>
      </c>
      <c r="F6" s="2">
        <f t="shared" si="1"/>
        <v>23212927.756653991</v>
      </c>
      <c r="G6" s="2">
        <f>G5*1000000/7.89</f>
        <v>23212927.756653991</v>
      </c>
      <c r="J6" t="s">
        <v>25</v>
      </c>
      <c r="K6" s="3">
        <v>21.72</v>
      </c>
      <c r="L6" s="3">
        <f>1.13*5.910813*3.6</f>
        <v>24.045187284000001</v>
      </c>
      <c r="M6" s="3">
        <f>1.13*6.009208*3.6</f>
        <v>24.445458144</v>
      </c>
      <c r="N6" s="3">
        <f>1.13*6.104814*3.6</f>
        <v>24.834383351999996</v>
      </c>
      <c r="O6" s="3">
        <f>1.13*6.148688*3.6</f>
        <v>25.012862783999999</v>
      </c>
    </row>
    <row r="7" spans="1:15" x14ac:dyDescent="0.25">
      <c r="A7" s="17" t="s">
        <v>4</v>
      </c>
      <c r="B7" t="s">
        <v>2</v>
      </c>
      <c r="C7" s="3">
        <v>0</v>
      </c>
      <c r="D7" s="3">
        <v>0</v>
      </c>
      <c r="E7" s="3">
        <v>79</v>
      </c>
      <c r="F7">
        <f>(G7+E7)/2</f>
        <v>144.5</v>
      </c>
      <c r="G7" s="3">
        <v>210</v>
      </c>
      <c r="J7" t="s">
        <v>26</v>
      </c>
      <c r="K7" s="3">
        <v>97.67</v>
      </c>
      <c r="L7" s="3">
        <f>1.13*3.6*(6.28164+10.06543)/2</f>
        <v>33.249940379999991</v>
      </c>
      <c r="M7" s="3">
        <f>1.13*3.6*(5.700917+9.16883)/2</f>
        <v>30.245065397999998</v>
      </c>
      <c r="N7" s="3">
        <f>1.13*3.6*(5.178303+8.244223)/2</f>
        <v>27.301417883999996</v>
      </c>
      <c r="O7" s="3">
        <f>1.13*3.6*(4.707948+7.467826)/2</f>
        <v>24.765524316</v>
      </c>
    </row>
    <row r="8" spans="1:15" x14ac:dyDescent="0.25">
      <c r="A8" s="17"/>
      <c r="B8" t="s">
        <v>5</v>
      </c>
      <c r="C8" s="2">
        <f t="shared" ref="C8:C10" si="2">D8</f>
        <v>0</v>
      </c>
      <c r="D8" s="2">
        <f t="shared" ref="D8:F8" si="3">D7*1000000/13.1</f>
        <v>0</v>
      </c>
      <c r="E8" s="2">
        <f t="shared" si="3"/>
        <v>6030534.3511450384</v>
      </c>
      <c r="F8" s="2">
        <f t="shared" si="3"/>
        <v>11030534.351145038</v>
      </c>
      <c r="G8" s="2">
        <f>G7*1000000/13.1</f>
        <v>16030534.351145038</v>
      </c>
      <c r="J8" t="s">
        <v>27</v>
      </c>
      <c r="K8" s="3">
        <v>0.89</v>
      </c>
      <c r="L8" s="3">
        <f>L7</f>
        <v>33.249940379999991</v>
      </c>
      <c r="M8" s="3">
        <f t="shared" ref="M8:O8" si="4">M7</f>
        <v>30.245065397999998</v>
      </c>
      <c r="N8" s="3">
        <f t="shared" si="4"/>
        <v>27.301417883999996</v>
      </c>
      <c r="O8" s="3">
        <f t="shared" si="4"/>
        <v>24.765524316</v>
      </c>
    </row>
    <row r="9" spans="1:15" x14ac:dyDescent="0.25">
      <c r="A9" s="17" t="s">
        <v>18</v>
      </c>
      <c r="B9" t="s">
        <v>2</v>
      </c>
      <c r="C9">
        <f t="shared" si="2"/>
        <v>22.11</v>
      </c>
      <c r="D9">
        <f t="shared" si="0"/>
        <v>22.11</v>
      </c>
      <c r="E9">
        <f t="shared" si="0"/>
        <v>22.11</v>
      </c>
      <c r="F9">
        <f t="shared" si="0"/>
        <v>22.11</v>
      </c>
      <c r="G9" s="4">
        <f>SUM(K9:K10)</f>
        <v>22.11</v>
      </c>
      <c r="J9" t="s">
        <v>28</v>
      </c>
      <c r="K9" s="3">
        <v>4.47</v>
      </c>
      <c r="L9" s="4"/>
      <c r="M9" s="4"/>
      <c r="N9" s="4"/>
      <c r="O9" s="4"/>
    </row>
    <row r="10" spans="1:15" x14ac:dyDescent="0.25">
      <c r="A10" s="17"/>
      <c r="B10" t="s">
        <v>19</v>
      </c>
      <c r="C10" s="2">
        <f t="shared" si="2"/>
        <v>4684322.0338983051</v>
      </c>
      <c r="D10" s="2">
        <f t="shared" ref="D10:F10" si="5">D9*1000000/4.72</f>
        <v>4684322.0338983051</v>
      </c>
      <c r="E10" s="2">
        <f t="shared" si="5"/>
        <v>4684322.0338983051</v>
      </c>
      <c r="F10" s="2">
        <f t="shared" si="5"/>
        <v>4684322.0338983051</v>
      </c>
      <c r="G10" s="2">
        <f>G9*1000000/4.72</f>
        <v>4684322.0338983051</v>
      </c>
      <c r="J10" t="s">
        <v>29</v>
      </c>
      <c r="K10" s="3">
        <v>17.64</v>
      </c>
      <c r="L10" s="4"/>
      <c r="M10" s="4"/>
      <c r="N10" s="4"/>
      <c r="O10" s="4"/>
    </row>
    <row r="12" spans="1:15" x14ac:dyDescent="0.25">
      <c r="A12" s="15"/>
      <c r="B12" s="15" t="s">
        <v>7</v>
      </c>
      <c r="C12" s="15"/>
      <c r="D12" s="15"/>
      <c r="E12" s="15"/>
      <c r="F12" s="15"/>
      <c r="G12" s="15"/>
    </row>
    <row r="13" spans="1:15" x14ac:dyDescent="0.25">
      <c r="A13" s="15"/>
      <c r="B13" t="s">
        <v>20</v>
      </c>
      <c r="C13">
        <v>2015</v>
      </c>
      <c r="D13">
        <v>2020</v>
      </c>
      <c r="E13">
        <v>2030</v>
      </c>
      <c r="F13">
        <v>2040</v>
      </c>
      <c r="G13">
        <v>2050</v>
      </c>
    </row>
    <row r="14" spans="1:15" x14ac:dyDescent="0.25">
      <c r="A14" s="17" t="s">
        <v>1</v>
      </c>
      <c r="B14" t="s">
        <v>8</v>
      </c>
      <c r="C14" s="4">
        <f>(D14-G14)/(G13-D13)*5+D14</f>
        <v>29.501419997300896</v>
      </c>
      <c r="D14" s="4">
        <f t="shared" ref="D14:F14" si="6">SUMPRODUCT($K$4:$K$8,L4:L8)/SUM($K$4:$K$8)</f>
        <v>28.604920738694837</v>
      </c>
      <c r="E14" s="4">
        <f t="shared" si="6"/>
        <v>26.410570162675182</v>
      </c>
      <c r="F14" s="4">
        <f t="shared" si="6"/>
        <v>24.685724230191646</v>
      </c>
      <c r="G14" s="4">
        <f>SUMPRODUCT($K$4:$K$8,O4:O8)/SUM($K$4:$K$8)</f>
        <v>23.225925187058479</v>
      </c>
      <c r="H14" s="4"/>
    </row>
    <row r="15" spans="1:15" x14ac:dyDescent="0.25">
      <c r="A15" s="17"/>
      <c r="B15" t="s">
        <v>9</v>
      </c>
      <c r="C15" s="5">
        <f t="shared" ref="C15:F15" si="7">C14*7.89</f>
        <v>232.76620377870407</v>
      </c>
      <c r="D15" s="5">
        <f t="shared" si="7"/>
        <v>225.69282462830225</v>
      </c>
      <c r="E15" s="5">
        <f t="shared" si="7"/>
        <v>208.37939858350717</v>
      </c>
      <c r="F15" s="5">
        <f t="shared" si="7"/>
        <v>194.77036417621207</v>
      </c>
      <c r="G15" s="5">
        <f>G14*7.89</f>
        <v>183.25254972589138</v>
      </c>
    </row>
    <row r="16" spans="1:15" x14ac:dyDescent="0.25">
      <c r="A16" s="17" t="s">
        <v>4</v>
      </c>
      <c r="B16" t="s">
        <v>8</v>
      </c>
      <c r="C16">
        <v>122</v>
      </c>
      <c r="D16" s="3">
        <v>122</v>
      </c>
      <c r="E16" s="3">
        <v>82</v>
      </c>
      <c r="F16" s="4">
        <f>G16*0.5+E16*0.5</f>
        <v>77.783333333333331</v>
      </c>
      <c r="G16" s="3">
        <f>(68.9+88.2)/2*8/12+(68.9+58.3)/2*4/12</f>
        <v>73.566666666666677</v>
      </c>
    </row>
    <row r="17" spans="1:7" x14ac:dyDescent="0.25">
      <c r="A17" s="17"/>
      <c r="B17" t="s">
        <v>14</v>
      </c>
      <c r="C17">
        <f t="shared" ref="C17:F17" si="8">C16*13.1</f>
        <v>1598.2</v>
      </c>
      <c r="D17">
        <f t="shared" si="8"/>
        <v>1598.2</v>
      </c>
      <c r="E17">
        <f t="shared" si="8"/>
        <v>1074.2</v>
      </c>
      <c r="F17">
        <f t="shared" si="8"/>
        <v>1018.9616666666666</v>
      </c>
      <c r="G17">
        <f>G16*13.1</f>
        <v>963.72333333333347</v>
      </c>
    </row>
    <row r="18" spans="1:7" x14ac:dyDescent="0.25">
      <c r="A18" s="1" t="s">
        <v>10</v>
      </c>
      <c r="B18" t="s">
        <v>8</v>
      </c>
      <c r="C18" s="3">
        <v>125</v>
      </c>
      <c r="D18">
        <f>($G$18-$C$18)/($G$13-$C$13)*(D13-$C$13)+$C$18</f>
        <v>125</v>
      </c>
      <c r="E18">
        <f>($G$18-$C$18)/($G$13-$C$13)*(E13-$C$13)+$C$18</f>
        <v>125</v>
      </c>
      <c r="F18">
        <f>($G$18-$C$18)/($G$13-$C$13)*(F13-$C$13)+$C$18</f>
        <v>125</v>
      </c>
      <c r="G18" s="3">
        <v>125</v>
      </c>
    </row>
    <row r="19" spans="1:7" x14ac:dyDescent="0.25">
      <c r="A19" s="12" t="s">
        <v>56</v>
      </c>
      <c r="B19" t="s">
        <v>8</v>
      </c>
      <c r="C19" s="3">
        <f>C18</f>
        <v>125</v>
      </c>
      <c r="D19" s="13">
        <f>D18*0.7</f>
        <v>87.5</v>
      </c>
      <c r="E19">
        <f>($G$19-$D$19)/($G$13-$D$13)*(E$13-$D$13)+$D$19</f>
        <v>71.666666666666671</v>
      </c>
      <c r="F19">
        <f>($G$19-$D$19)/($G$13-$D$13)*(F$13-$D$13)+$D$19</f>
        <v>55.833333333333336</v>
      </c>
      <c r="G19" s="3">
        <v>40</v>
      </c>
    </row>
    <row r="20" spans="1:7" x14ac:dyDescent="0.25">
      <c r="A20" s="12" t="s">
        <v>57</v>
      </c>
      <c r="B20" t="s">
        <v>8</v>
      </c>
      <c r="C20" s="3">
        <f>C19</f>
        <v>125</v>
      </c>
      <c r="D20" s="13">
        <f>D19*0.8</f>
        <v>70</v>
      </c>
      <c r="E20">
        <f>($G$20-$D$20)/($G$13-$D$13)*(E$13-$D$13)+$D$20</f>
        <v>53.333333333333329</v>
      </c>
      <c r="F20">
        <f>($G$20-$D$20)/($G$13-$D$13)*(F$13-$D$13)+$D$20</f>
        <v>36.666666666666664</v>
      </c>
      <c r="G20" s="3">
        <v>20</v>
      </c>
    </row>
    <row r="21" spans="1:7" x14ac:dyDescent="0.25">
      <c r="A21" s="1" t="s">
        <v>11</v>
      </c>
      <c r="B21" t="s">
        <v>17</v>
      </c>
      <c r="C21" s="3">
        <v>60</v>
      </c>
      <c r="D21" s="3">
        <v>80</v>
      </c>
      <c r="E21" s="3">
        <v>100</v>
      </c>
      <c r="F21" s="3">
        <v>120</v>
      </c>
      <c r="G21" s="3">
        <v>120</v>
      </c>
    </row>
    <row r="22" spans="1:7" x14ac:dyDescent="0.25">
      <c r="A22" s="1" t="s">
        <v>12</v>
      </c>
      <c r="B22" t="s">
        <v>17</v>
      </c>
      <c r="C22" s="3">
        <v>495</v>
      </c>
      <c r="D22" s="3">
        <v>495</v>
      </c>
      <c r="E22" s="3">
        <f>D22*1.5</f>
        <v>742.5</v>
      </c>
      <c r="F22" s="3">
        <f>E22</f>
        <v>742.5</v>
      </c>
      <c r="G22" s="3">
        <f>E22</f>
        <v>742.5</v>
      </c>
    </row>
    <row r="23" spans="1:7" x14ac:dyDescent="0.25">
      <c r="A23" s="1" t="s">
        <v>16</v>
      </c>
      <c r="B23" t="s">
        <v>17</v>
      </c>
      <c r="C23" s="3">
        <v>664</v>
      </c>
      <c r="D23" s="3">
        <v>664</v>
      </c>
      <c r="E23" s="3">
        <v>664</v>
      </c>
      <c r="F23" s="3">
        <v>664</v>
      </c>
      <c r="G23" s="3">
        <v>664</v>
      </c>
    </row>
    <row r="24" spans="1:7" x14ac:dyDescent="0.25">
      <c r="A24" s="1" t="s">
        <v>18</v>
      </c>
      <c r="B24" t="s">
        <v>14</v>
      </c>
      <c r="C24">
        <f t="shared" ref="C24:F24" si="9">D24</f>
        <v>13.212048846675714</v>
      </c>
      <c r="D24">
        <f t="shared" si="9"/>
        <v>13.212048846675714</v>
      </c>
      <c r="E24">
        <f t="shared" si="9"/>
        <v>13.212048846675714</v>
      </c>
      <c r="F24">
        <f t="shared" si="9"/>
        <v>13.212048846675714</v>
      </c>
      <c r="G24" s="3">
        <f>K10*16.56/G9</f>
        <v>13.212048846675714</v>
      </c>
    </row>
    <row r="25" spans="1:7" x14ac:dyDescent="0.25">
      <c r="A25" s="1" t="s">
        <v>15</v>
      </c>
      <c r="B25" t="s">
        <v>14</v>
      </c>
      <c r="C25" s="3">
        <v>700</v>
      </c>
      <c r="D25">
        <f>C25</f>
        <v>700</v>
      </c>
      <c r="E25">
        <f>($G$25-$D$25)/($G$13-$D$13)*(E$13-$D$13)+$D$25</f>
        <v>700</v>
      </c>
      <c r="F25">
        <f>($G$25-$D$25)/($G$13-$D$13)*(F$13-$D$13)+$D$25</f>
        <v>700</v>
      </c>
      <c r="G25" s="3">
        <v>700</v>
      </c>
    </row>
    <row r="26" spans="1:7" x14ac:dyDescent="0.25">
      <c r="A26" s="1" t="s">
        <v>13</v>
      </c>
      <c r="B26" t="s">
        <v>14</v>
      </c>
      <c r="C26">
        <v>20</v>
      </c>
      <c r="D26">
        <v>20</v>
      </c>
      <c r="E26">
        <v>20</v>
      </c>
      <c r="F26">
        <v>20</v>
      </c>
      <c r="G26">
        <v>20</v>
      </c>
    </row>
    <row r="27" spans="1:7" x14ac:dyDescent="0.25">
      <c r="A27" s="1" t="s">
        <v>21</v>
      </c>
      <c r="B27" t="s">
        <v>14</v>
      </c>
      <c r="C27">
        <v>100</v>
      </c>
      <c r="D27">
        <v>100</v>
      </c>
      <c r="E27">
        <v>100</v>
      </c>
      <c r="F27">
        <v>100</v>
      </c>
      <c r="G27">
        <v>100</v>
      </c>
    </row>
    <row r="28" spans="1:7" x14ac:dyDescent="0.25">
      <c r="A28" s="1" t="s">
        <v>22</v>
      </c>
      <c r="B28" t="s">
        <v>14</v>
      </c>
      <c r="C28">
        <v>180</v>
      </c>
      <c r="D28">
        <v>180</v>
      </c>
      <c r="E28">
        <v>180</v>
      </c>
      <c r="F28">
        <v>180</v>
      </c>
      <c r="G28">
        <v>180</v>
      </c>
    </row>
    <row r="29" spans="1:7" x14ac:dyDescent="0.25">
      <c r="A29" s="11" t="s">
        <v>55</v>
      </c>
      <c r="B29" t="s">
        <v>14</v>
      </c>
      <c r="C29" s="3">
        <v>10000</v>
      </c>
      <c r="D29" s="3">
        <v>6000</v>
      </c>
      <c r="E29" s="3">
        <v>4000</v>
      </c>
      <c r="F29" s="3">
        <v>3000</v>
      </c>
      <c r="G29" s="3">
        <v>3000</v>
      </c>
    </row>
    <row r="31" spans="1:7" x14ac:dyDescent="0.25">
      <c r="C31" s="14" t="s">
        <v>47</v>
      </c>
      <c r="D31" s="14"/>
      <c r="E31" s="14"/>
      <c r="F31" s="14"/>
      <c r="G31" s="14"/>
    </row>
    <row r="32" spans="1:7" x14ac:dyDescent="0.25">
      <c r="B32" s="7" t="s">
        <v>0</v>
      </c>
      <c r="C32">
        <v>2015</v>
      </c>
      <c r="D32">
        <v>2020</v>
      </c>
      <c r="E32">
        <v>2030</v>
      </c>
      <c r="F32">
        <v>2040</v>
      </c>
      <c r="G32">
        <v>2050</v>
      </c>
    </row>
    <row r="33" spans="1:10" x14ac:dyDescent="0.25">
      <c r="A33" s="9" t="s">
        <v>43</v>
      </c>
      <c r="B33" s="8" t="s">
        <v>45</v>
      </c>
      <c r="C33">
        <v>30</v>
      </c>
      <c r="D33">
        <v>30</v>
      </c>
      <c r="E33">
        <f>D33</f>
        <v>30</v>
      </c>
      <c r="F33">
        <f>(E33+G33)/2</f>
        <v>25.65</v>
      </c>
      <c r="G33">
        <f>0.5*($D$33+$D$34)</f>
        <v>21.3</v>
      </c>
    </row>
    <row r="34" spans="1:10" x14ac:dyDescent="0.25">
      <c r="A34" s="9" t="s">
        <v>44</v>
      </c>
      <c r="B34" s="8" t="s">
        <v>45</v>
      </c>
      <c r="C34">
        <v>12.6</v>
      </c>
      <c r="D34">
        <v>12.6</v>
      </c>
      <c r="E34">
        <f>D34</f>
        <v>12.6</v>
      </c>
      <c r="F34">
        <f>(E34+G34)/2</f>
        <v>16.95</v>
      </c>
      <c r="G34">
        <f>0.5*($D$33+$D$34)</f>
        <v>21.3</v>
      </c>
    </row>
    <row r="35" spans="1:10" x14ac:dyDescent="0.25">
      <c r="A35" s="9" t="s">
        <v>46</v>
      </c>
      <c r="B35" s="8" t="s">
        <v>45</v>
      </c>
      <c r="C35">
        <v>9.1999999999999993</v>
      </c>
      <c r="D35">
        <v>9.1999999999999993</v>
      </c>
      <c r="E35">
        <f>($G35-$D35)/($G$32-$D$32)*(E$32-$D$32)+$D35</f>
        <v>7.9733333333333327</v>
      </c>
      <c r="F35">
        <f>($G35-$D35)/($G$32-$D$32)*(F$32-$D$32)+$D35</f>
        <v>6.7466666666666661</v>
      </c>
      <c r="G35">
        <f>0.6*C35</f>
        <v>5.52</v>
      </c>
    </row>
    <row r="36" spans="1:10" x14ac:dyDescent="0.25">
      <c r="A36" s="9" t="s">
        <v>15</v>
      </c>
      <c r="B36" s="8" t="s">
        <v>45</v>
      </c>
      <c r="C36">
        <v>1.4</v>
      </c>
      <c r="D36">
        <v>1.4</v>
      </c>
      <c r="E36">
        <v>1.4</v>
      </c>
      <c r="F36">
        <v>1.4</v>
      </c>
      <c r="G36">
        <v>1.4</v>
      </c>
    </row>
    <row r="37" spans="1:10" x14ac:dyDescent="0.25">
      <c r="A37" s="9" t="s">
        <v>48</v>
      </c>
      <c r="B37" s="8" t="s">
        <v>45</v>
      </c>
      <c r="C37">
        <v>2.5</v>
      </c>
      <c r="D37">
        <v>2.4</v>
      </c>
      <c r="E37">
        <f>($G37-$D37)/($G$32-$D$32)*(E$32-$D$32)+$D37</f>
        <v>1.5999999999999999</v>
      </c>
      <c r="F37">
        <f>($G37-$D37)/($G$32-$D$32)*(F$32-$D$32)+$D37</f>
        <v>0.79999999999999982</v>
      </c>
      <c r="G37">
        <v>0</v>
      </c>
    </row>
    <row r="38" spans="1:10" x14ac:dyDescent="0.25">
      <c r="A38" s="9" t="s">
        <v>49</v>
      </c>
      <c r="B38" s="8" t="s">
        <v>45</v>
      </c>
      <c r="C38">
        <f>33*0.3</f>
        <v>9.9</v>
      </c>
      <c r="D38">
        <f>C38</f>
        <v>9.9</v>
      </c>
      <c r="E38">
        <f>SUM($C$38:$C$41)*0.125</f>
        <v>4.1250000000000009</v>
      </c>
      <c r="F38">
        <f>($G38-$E38)/($G$32-$E$32)*(F$32-$E$32)+$E38</f>
        <v>3.1453125000000006</v>
      </c>
      <c r="G38">
        <f>0.075*0.875*SUM($C$38:$C$41)</f>
        <v>2.1656250000000004</v>
      </c>
    </row>
    <row r="39" spans="1:10" x14ac:dyDescent="0.25">
      <c r="A39" s="9" t="s">
        <v>50</v>
      </c>
      <c r="B39" s="8" t="s">
        <v>45</v>
      </c>
      <c r="C39">
        <f>33-C38-C40</f>
        <v>18.150000000000002</v>
      </c>
      <c r="D39">
        <f t="shared" ref="D39:D41" si="10">C39</f>
        <v>18.150000000000002</v>
      </c>
      <c r="E39">
        <f>SUM($C$38:$C$41)*0.3</f>
        <v>9.9000000000000021</v>
      </c>
      <c r="F39">
        <f t="shared" ref="F39:F40" si="11">($G39-$E39)/($G$32-$E$32)*(F$32-$E$32)+$E39</f>
        <v>7.1156250000000014</v>
      </c>
      <c r="G39">
        <f>0.15*0.875*SUM($C$38:$C$41)</f>
        <v>4.3312500000000007</v>
      </c>
      <c r="J39" s="2"/>
    </row>
    <row r="40" spans="1:10" x14ac:dyDescent="0.25">
      <c r="A40" s="9" t="s">
        <v>51</v>
      </c>
      <c r="B40" s="8" t="s">
        <v>45</v>
      </c>
      <c r="C40">
        <f>33*0.15</f>
        <v>4.95</v>
      </c>
      <c r="D40">
        <f t="shared" si="10"/>
        <v>4.95</v>
      </c>
      <c r="E40">
        <f>SUM($C$38:$C$41)-E38-E39-E41</f>
        <v>10.725000000000003</v>
      </c>
      <c r="F40">
        <f t="shared" si="11"/>
        <v>10.776562500000004</v>
      </c>
      <c r="G40">
        <f>0.875*SUM($C$38:$C$41)-G38-G39-G41</f>
        <v>10.828125000000004</v>
      </c>
    </row>
    <row r="41" spans="1:10" x14ac:dyDescent="0.25">
      <c r="A41" s="9" t="s">
        <v>52</v>
      </c>
      <c r="B41" s="8" t="s">
        <v>45</v>
      </c>
      <c r="C41">
        <v>0</v>
      </c>
      <c r="D41">
        <f t="shared" si="10"/>
        <v>0</v>
      </c>
      <c r="E41">
        <f>SUM($C$38:$C$41)*0.25</f>
        <v>8.2500000000000018</v>
      </c>
      <c r="F41">
        <f>($G41-$E41)/($G$32-$E$32)*(F$32-$E$32)+$E41</f>
        <v>9.9000000000000021</v>
      </c>
      <c r="G41">
        <f>0.4*0.875*SUM($C$38:$C$41)</f>
        <v>11.550000000000004</v>
      </c>
    </row>
    <row r="43" spans="1:10" x14ac:dyDescent="0.25">
      <c r="C43" s="10"/>
    </row>
  </sheetData>
  <mergeCells count="14">
    <mergeCell ref="C31:G31"/>
    <mergeCell ref="B12:G12"/>
    <mergeCell ref="A14:A15"/>
    <mergeCell ref="A1:G2"/>
    <mergeCell ref="K1:O1"/>
    <mergeCell ref="K2:K3"/>
    <mergeCell ref="L2:O2"/>
    <mergeCell ref="A3:A4"/>
    <mergeCell ref="B3:G3"/>
    <mergeCell ref="A16:A17"/>
    <mergeCell ref="A5:A6"/>
    <mergeCell ref="A7:A8"/>
    <mergeCell ref="A9:A10"/>
    <mergeCell ref="A12:A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1"/>
  <sheetViews>
    <sheetView topLeftCell="A7" workbookViewId="0">
      <selection activeCell="G20" sqref="G20"/>
    </sheetView>
  </sheetViews>
  <sheetFormatPr baseColWidth="10" defaultRowHeight="15" x14ac:dyDescent="0.25"/>
  <cols>
    <col min="1" max="1" width="17" bestFit="1" customWidth="1"/>
    <col min="2" max="2" width="22.5703125" bestFit="1" customWidth="1"/>
    <col min="5" max="5" width="12" bestFit="1" customWidth="1"/>
    <col min="10" max="10" width="24" bestFit="1" customWidth="1"/>
    <col min="11" max="11" width="16.28515625" bestFit="1" customWidth="1"/>
  </cols>
  <sheetData>
    <row r="1" spans="1:15" x14ac:dyDescent="0.25">
      <c r="A1" s="16" t="s">
        <v>39</v>
      </c>
      <c r="B1" s="16"/>
      <c r="C1" s="16"/>
      <c r="D1" s="16"/>
      <c r="E1" s="16"/>
      <c r="F1" s="16"/>
      <c r="G1" s="16"/>
      <c r="K1" s="15" t="s">
        <v>30</v>
      </c>
      <c r="L1" s="15"/>
      <c r="M1" s="15"/>
      <c r="N1" s="15"/>
      <c r="O1" s="15"/>
    </row>
    <row r="2" spans="1:15" x14ac:dyDescent="0.25">
      <c r="A2" s="16"/>
      <c r="B2" s="16"/>
      <c r="C2" s="16"/>
      <c r="D2" s="16"/>
      <c r="E2" s="16"/>
      <c r="F2" s="16"/>
      <c r="G2" s="16"/>
      <c r="K2" s="15" t="s">
        <v>31</v>
      </c>
      <c r="L2" s="15" t="s">
        <v>32</v>
      </c>
      <c r="M2" s="15"/>
      <c r="N2" s="15"/>
      <c r="O2" s="15"/>
    </row>
    <row r="3" spans="1:15" x14ac:dyDescent="0.25">
      <c r="A3" s="15"/>
      <c r="B3" s="15" t="s">
        <v>6</v>
      </c>
      <c r="C3" s="15"/>
      <c r="D3" s="15"/>
      <c r="E3" s="15"/>
      <c r="F3" s="15"/>
      <c r="G3" s="15"/>
      <c r="K3" s="15"/>
      <c r="L3">
        <v>2020</v>
      </c>
      <c r="M3">
        <v>2030</v>
      </c>
      <c r="N3">
        <v>2040</v>
      </c>
      <c r="O3">
        <v>2050</v>
      </c>
    </row>
    <row r="4" spans="1:15" x14ac:dyDescent="0.25">
      <c r="A4" s="15"/>
      <c r="B4" t="s">
        <v>0</v>
      </c>
      <c r="C4">
        <v>2015</v>
      </c>
      <c r="D4">
        <v>2020</v>
      </c>
      <c r="E4">
        <v>2030</v>
      </c>
      <c r="F4">
        <v>2040</v>
      </c>
      <c r="G4">
        <v>2050</v>
      </c>
      <c r="J4" t="s">
        <v>23</v>
      </c>
      <c r="K4" s="3">
        <v>12.96</v>
      </c>
      <c r="L4" s="3">
        <f>1.13*3.6*4.853177</f>
        <v>19.742724035999995</v>
      </c>
      <c r="M4" s="3">
        <f>1.13*3.6*4.581431</f>
        <v>18.637261307999999</v>
      </c>
      <c r="N4" s="3">
        <f>1.13*3.6*4.40732</f>
        <v>17.928977759999999</v>
      </c>
      <c r="O4" s="3">
        <f>1.13*3.6*4.2607</f>
        <v>17.332527599999999</v>
      </c>
    </row>
    <row r="5" spans="1:15" x14ac:dyDescent="0.25">
      <c r="A5" s="17" t="s">
        <v>1</v>
      </c>
      <c r="B5" t="s">
        <v>2</v>
      </c>
      <c r="C5">
        <f t="shared" ref="C5:F9" si="0">D5</f>
        <v>74.11999999999999</v>
      </c>
      <c r="D5">
        <f t="shared" si="0"/>
        <v>74.11999999999999</v>
      </c>
      <c r="E5">
        <f t="shared" si="0"/>
        <v>74.11999999999999</v>
      </c>
      <c r="F5">
        <f t="shared" si="0"/>
        <v>74.11999999999999</v>
      </c>
      <c r="G5" s="4">
        <f>SUM(K4:K8)</f>
        <v>74.11999999999999</v>
      </c>
      <c r="J5" t="s">
        <v>24</v>
      </c>
      <c r="K5" s="3">
        <v>23.31</v>
      </c>
      <c r="L5" s="3">
        <f>1.13*3.6*(3.798606+7.629333)/2</f>
        <v>23.244427925999997</v>
      </c>
      <c r="M5" s="3">
        <f>1.13*3.6*(4.051084+7.777371)/2</f>
        <v>24.059077469999998</v>
      </c>
      <c r="N5" s="3">
        <f>1.13*3.6*(4.076239+7.734461)/2</f>
        <v>24.022963799999999</v>
      </c>
      <c r="O5" s="3">
        <f>1.13*3.6*(4.101395+7.58205)/2</f>
        <v>23.764127129999995</v>
      </c>
    </row>
    <row r="6" spans="1:15" x14ac:dyDescent="0.25">
      <c r="A6" s="17"/>
      <c r="B6" t="s">
        <v>3</v>
      </c>
      <c r="C6" s="2">
        <f t="shared" si="0"/>
        <v>9394169.8352344725</v>
      </c>
      <c r="D6" s="2">
        <f t="shared" ref="D6:F6" si="1">D5*1000000/7.89</f>
        <v>9394169.8352344725</v>
      </c>
      <c r="E6" s="2">
        <f t="shared" si="1"/>
        <v>9394169.8352344725</v>
      </c>
      <c r="F6" s="2">
        <f t="shared" si="1"/>
        <v>9394169.8352344725</v>
      </c>
      <c r="G6" s="2">
        <f>G5*1000000/7.89</f>
        <v>9394169.8352344725</v>
      </c>
      <c r="J6" t="s">
        <v>25</v>
      </c>
      <c r="K6" s="3">
        <v>14.42</v>
      </c>
      <c r="L6" s="3">
        <f>1.13*5.060126*3.6</f>
        <v>20.584592568000001</v>
      </c>
      <c r="M6" s="3">
        <f>1.13*5.022151*3.6</f>
        <v>20.430110267999996</v>
      </c>
      <c r="N6" s="3">
        <f>1.13*4.945343*3.6</f>
        <v>20.117655323999998</v>
      </c>
      <c r="O6" s="3">
        <f>1.13*5.03694*3.6</f>
        <v>20.490271920000001</v>
      </c>
    </row>
    <row r="7" spans="1:15" x14ac:dyDescent="0.25">
      <c r="A7" s="17" t="s">
        <v>4</v>
      </c>
      <c r="B7" t="s">
        <v>2</v>
      </c>
      <c r="C7" s="3">
        <v>0</v>
      </c>
      <c r="D7" s="3">
        <v>0</v>
      </c>
      <c r="E7" s="3">
        <v>57</v>
      </c>
      <c r="F7">
        <f>(G7+E7)/2</f>
        <v>92</v>
      </c>
      <c r="G7" s="3">
        <v>127</v>
      </c>
      <c r="J7" t="s">
        <v>26</v>
      </c>
      <c r="K7" s="3">
        <v>18.04</v>
      </c>
      <c r="L7" s="3">
        <f>1.13*3.6*(5.784075+9.948617)/2</f>
        <v>32.000295527999995</v>
      </c>
      <c r="M7" s="3">
        <f>1.13*3.6*(5.258297+9.007661)/2</f>
        <v>29.016958572</v>
      </c>
      <c r="N7" s="3">
        <f>1.13*3.6*(4.785385+8.161522)/2</f>
        <v>26.334008837999995</v>
      </c>
      <c r="O7" s="3">
        <f>1.13*3.6*(4.35801+7.398567)/2</f>
        <v>23.912877618</v>
      </c>
    </row>
    <row r="8" spans="1:15" x14ac:dyDescent="0.25">
      <c r="A8" s="17"/>
      <c r="B8" t="s">
        <v>5</v>
      </c>
      <c r="C8" s="2">
        <f t="shared" ref="C8:C10" si="2">D8</f>
        <v>0</v>
      </c>
      <c r="D8" s="2">
        <f t="shared" ref="D8:F8" si="3">D7*1000000/13.1</f>
        <v>0</v>
      </c>
      <c r="E8" s="2">
        <f t="shared" si="3"/>
        <v>4351145.0381679386</v>
      </c>
      <c r="F8" s="2">
        <f t="shared" si="3"/>
        <v>7022900.7633587793</v>
      </c>
      <c r="G8" s="2">
        <f>G7*1000000/13.1</f>
        <v>9694656.4885496181</v>
      </c>
      <c r="J8" t="s">
        <v>27</v>
      </c>
      <c r="K8" s="3">
        <v>5.39</v>
      </c>
      <c r="L8" s="3">
        <f>L7</f>
        <v>32.000295527999995</v>
      </c>
      <c r="M8" s="3">
        <f t="shared" ref="M8:O8" si="4">M7</f>
        <v>29.016958572</v>
      </c>
      <c r="N8" s="3">
        <f t="shared" si="4"/>
        <v>26.334008837999995</v>
      </c>
      <c r="O8" s="3">
        <f t="shared" si="4"/>
        <v>23.912877618</v>
      </c>
    </row>
    <row r="9" spans="1:15" x14ac:dyDescent="0.25">
      <c r="A9" s="17" t="s">
        <v>18</v>
      </c>
      <c r="B9" t="s">
        <v>2</v>
      </c>
      <c r="C9">
        <f t="shared" si="2"/>
        <v>17.98</v>
      </c>
      <c r="D9">
        <f t="shared" si="0"/>
        <v>17.98</v>
      </c>
      <c r="E9">
        <f t="shared" si="0"/>
        <v>17.98</v>
      </c>
      <c r="F9">
        <f t="shared" si="0"/>
        <v>17.98</v>
      </c>
      <c r="G9" s="4">
        <f>SUM(K9:K10)</f>
        <v>17.98</v>
      </c>
      <c r="J9" t="s">
        <v>28</v>
      </c>
      <c r="K9" s="3">
        <v>3.87</v>
      </c>
      <c r="L9" s="4"/>
      <c r="M9" s="4"/>
      <c r="N9" s="4"/>
      <c r="O9" s="4"/>
    </row>
    <row r="10" spans="1:15" x14ac:dyDescent="0.25">
      <c r="A10" s="17"/>
      <c r="B10" t="s">
        <v>19</v>
      </c>
      <c r="C10" s="2">
        <f t="shared" si="2"/>
        <v>3809322.0338983051</v>
      </c>
      <c r="D10" s="2">
        <f t="shared" ref="D10:F10" si="5">D9*1000000/4.72</f>
        <v>3809322.0338983051</v>
      </c>
      <c r="E10" s="2">
        <f t="shared" si="5"/>
        <v>3809322.0338983051</v>
      </c>
      <c r="F10" s="2">
        <f t="shared" si="5"/>
        <v>3809322.0338983051</v>
      </c>
      <c r="G10" s="2">
        <f>G9*1000000/4.72</f>
        <v>3809322.0338983051</v>
      </c>
      <c r="J10" t="s">
        <v>29</v>
      </c>
      <c r="K10" s="3">
        <v>14.11</v>
      </c>
      <c r="L10" s="4"/>
      <c r="M10" s="4"/>
      <c r="N10" s="4"/>
      <c r="O10" s="4"/>
    </row>
    <row r="12" spans="1:15" x14ac:dyDescent="0.25">
      <c r="A12" s="15"/>
      <c r="B12" s="15" t="s">
        <v>7</v>
      </c>
      <c r="C12" s="15"/>
      <c r="D12" s="15"/>
      <c r="E12" s="15"/>
      <c r="F12" s="15"/>
      <c r="G12" s="15"/>
    </row>
    <row r="13" spans="1:15" x14ac:dyDescent="0.25">
      <c r="A13" s="15"/>
      <c r="B13" t="s">
        <v>20</v>
      </c>
      <c r="C13">
        <v>2015</v>
      </c>
      <c r="D13">
        <v>2020</v>
      </c>
      <c r="E13">
        <v>2030</v>
      </c>
      <c r="F13">
        <v>2040</v>
      </c>
      <c r="G13">
        <v>2050</v>
      </c>
    </row>
    <row r="14" spans="1:15" x14ac:dyDescent="0.25">
      <c r="A14" s="17" t="s">
        <v>1</v>
      </c>
      <c r="B14" t="s">
        <v>8</v>
      </c>
      <c r="C14" s="4">
        <f>(D14-G14)/(G13-D13)*5+D14</f>
        <v>25.354629132533052</v>
      </c>
      <c r="D14" s="4">
        <f t="shared" ref="D14:F14" si="6">SUMPRODUCT($K$4:$K$8,L4:L8)/SUM($K$4:$K$8)</f>
        <v>24.882488768392065</v>
      </c>
      <c r="E14" s="4">
        <f t="shared" si="6"/>
        <v>23.972281864326771</v>
      </c>
      <c r="F14" s="4">
        <f t="shared" si="6"/>
        <v>22.928187463491906</v>
      </c>
      <c r="G14" s="4">
        <f>SUMPRODUCT($K$4:$K$8,O4:O8)/SUM($K$4:$K$8)</f>
        <v>22.049646583546142</v>
      </c>
      <c r="H14" s="4"/>
      <c r="I14" s="4"/>
    </row>
    <row r="15" spans="1:15" x14ac:dyDescent="0.25">
      <c r="A15" s="17"/>
      <c r="B15" t="s">
        <v>9</v>
      </c>
      <c r="C15" s="5">
        <f t="shared" ref="C15:F15" si="7">C14*7.89</f>
        <v>200.04802385568578</v>
      </c>
      <c r="D15" s="5">
        <f t="shared" si="7"/>
        <v>196.32283638261339</v>
      </c>
      <c r="E15" s="5">
        <f t="shared" si="7"/>
        <v>189.14130390953821</v>
      </c>
      <c r="F15" s="5">
        <f t="shared" si="7"/>
        <v>180.90339908695114</v>
      </c>
      <c r="G15" s="5">
        <f>G14*7.89</f>
        <v>173.97171154417904</v>
      </c>
    </row>
    <row r="16" spans="1:15" x14ac:dyDescent="0.25">
      <c r="A16" s="17" t="s">
        <v>4</v>
      </c>
      <c r="B16" t="s">
        <v>8</v>
      </c>
      <c r="C16">
        <v>122</v>
      </c>
      <c r="D16" s="3">
        <v>122</v>
      </c>
      <c r="E16" s="3">
        <v>82</v>
      </c>
      <c r="F16" s="4">
        <f>G16*0.5+E16*0.5</f>
        <v>72.8</v>
      </c>
      <c r="G16" s="3">
        <f>(68.9+58.3)/2</f>
        <v>63.6</v>
      </c>
    </row>
    <row r="17" spans="1:7" x14ac:dyDescent="0.25">
      <c r="A17" s="17"/>
      <c r="B17" t="s">
        <v>14</v>
      </c>
      <c r="C17">
        <f t="shared" ref="C17:F17" si="8">C16*13.1</f>
        <v>1598.2</v>
      </c>
      <c r="D17">
        <f t="shared" si="8"/>
        <v>1598.2</v>
      </c>
      <c r="E17">
        <f t="shared" si="8"/>
        <v>1074.2</v>
      </c>
      <c r="F17">
        <f t="shared" si="8"/>
        <v>953.68</v>
      </c>
      <c r="G17">
        <f>G16*13.1</f>
        <v>833.16</v>
      </c>
    </row>
    <row r="18" spans="1:7" x14ac:dyDescent="0.25">
      <c r="A18" s="1" t="s">
        <v>10</v>
      </c>
      <c r="B18" t="s">
        <v>8</v>
      </c>
      <c r="C18" s="3">
        <v>105</v>
      </c>
      <c r="D18">
        <f>($G$18-$C$18)/($G$13-$C$13)*(D13-$C$13)+$C$18</f>
        <v>107.85714285714286</v>
      </c>
      <c r="E18">
        <f>($G$18-$C$18)/($G$13-$C$13)*(E13-$C$13)+$C$18</f>
        <v>113.57142857142857</v>
      </c>
      <c r="F18">
        <f>($G$18-$C$18)/($G$13-$C$13)*(F13-$C$13)+$C$18</f>
        <v>119.28571428571428</v>
      </c>
      <c r="G18" s="3">
        <v>125</v>
      </c>
    </row>
    <row r="19" spans="1:7" x14ac:dyDescent="0.25">
      <c r="A19" s="12" t="s">
        <v>56</v>
      </c>
      <c r="B19" t="s">
        <v>8</v>
      </c>
      <c r="C19" s="3">
        <f>C18</f>
        <v>105</v>
      </c>
      <c r="D19" s="13">
        <f>D18*0.7</f>
        <v>75.5</v>
      </c>
      <c r="E19">
        <f>($G$19-$D$19)/($G$13-$D$13)*(E$13-$D$13)+$D$19</f>
        <v>63.666666666666664</v>
      </c>
      <c r="F19">
        <f>($G$19-$D$19)/($G$13-$D$13)*(F$13-$D$13)+$D$19</f>
        <v>51.833333333333329</v>
      </c>
      <c r="G19" s="3">
        <v>40</v>
      </c>
    </row>
    <row r="20" spans="1:7" x14ac:dyDescent="0.25">
      <c r="A20" s="12" t="s">
        <v>57</v>
      </c>
      <c r="B20" t="s">
        <v>8</v>
      </c>
      <c r="C20" s="3">
        <f>C19</f>
        <v>105</v>
      </c>
      <c r="D20" s="13">
        <f>D19*0.8</f>
        <v>60.400000000000006</v>
      </c>
      <c r="E20">
        <f>($G$20-$D$20)/($G$13-$D$13)*(E$13-$D$13)+$D$20</f>
        <v>46.933333333333337</v>
      </c>
      <c r="F20">
        <f>($G$20-$D$20)/($G$13-$D$13)*(F$13-$D$13)+$D$20</f>
        <v>33.466666666666669</v>
      </c>
      <c r="G20" s="3">
        <v>20</v>
      </c>
    </row>
    <row r="21" spans="1:7" x14ac:dyDescent="0.25">
      <c r="A21" s="1" t="s">
        <v>11</v>
      </c>
      <c r="B21" t="s">
        <v>17</v>
      </c>
      <c r="C21" s="3">
        <v>60</v>
      </c>
      <c r="D21" s="3">
        <v>80</v>
      </c>
      <c r="E21" s="3">
        <v>100</v>
      </c>
      <c r="F21" s="3">
        <v>120</v>
      </c>
      <c r="G21" s="3">
        <v>120</v>
      </c>
    </row>
    <row r="22" spans="1:7" x14ac:dyDescent="0.25">
      <c r="A22" s="1" t="s">
        <v>12</v>
      </c>
      <c r="B22" t="s">
        <v>17</v>
      </c>
      <c r="C22" s="3">
        <v>495</v>
      </c>
      <c r="D22" s="3">
        <v>495</v>
      </c>
      <c r="E22" s="3">
        <f>D22*1.5</f>
        <v>742.5</v>
      </c>
      <c r="F22" s="3">
        <f>E22</f>
        <v>742.5</v>
      </c>
      <c r="G22" s="3">
        <f>E22</f>
        <v>742.5</v>
      </c>
    </row>
    <row r="23" spans="1:7" x14ac:dyDescent="0.25">
      <c r="A23" s="1" t="s">
        <v>16</v>
      </c>
      <c r="B23" t="s">
        <v>17</v>
      </c>
      <c r="C23" s="3">
        <v>664</v>
      </c>
      <c r="D23" s="3">
        <v>664</v>
      </c>
      <c r="E23" s="3">
        <v>664</v>
      </c>
      <c r="F23" s="3">
        <v>664</v>
      </c>
      <c r="G23" s="3">
        <v>664</v>
      </c>
    </row>
    <row r="24" spans="1:7" x14ac:dyDescent="0.25">
      <c r="A24" s="1" t="s">
        <v>18</v>
      </c>
      <c r="B24" t="s">
        <v>14</v>
      </c>
      <c r="C24">
        <f t="shared" ref="C24:F24" si="9">D24</f>
        <v>11.818498331479422</v>
      </c>
      <c r="D24">
        <f t="shared" si="9"/>
        <v>11.818498331479422</v>
      </c>
      <c r="E24">
        <f t="shared" si="9"/>
        <v>11.818498331479422</v>
      </c>
      <c r="F24">
        <f t="shared" si="9"/>
        <v>11.818498331479422</v>
      </c>
      <c r="G24" s="3">
        <f>K10*15.06/G9</f>
        <v>11.818498331479422</v>
      </c>
    </row>
    <row r="25" spans="1:7" x14ac:dyDescent="0.25">
      <c r="A25" s="1" t="s">
        <v>15</v>
      </c>
      <c r="B25" t="s">
        <v>14</v>
      </c>
      <c r="C25" s="3">
        <v>700</v>
      </c>
      <c r="D25">
        <f>C25</f>
        <v>700</v>
      </c>
      <c r="E25">
        <f>($G$25-$D$25)/($G$13-$D$13)*(E$13-$D$13)+$D$25</f>
        <v>700</v>
      </c>
      <c r="F25">
        <f>($G$25-$D$25)/($G$13-$D$13)*(F$13-$D$13)+$D$25</f>
        <v>700</v>
      </c>
      <c r="G25" s="3">
        <v>700</v>
      </c>
    </row>
    <row r="26" spans="1:7" x14ac:dyDescent="0.25">
      <c r="A26" s="1" t="s">
        <v>13</v>
      </c>
      <c r="B26" t="s">
        <v>14</v>
      </c>
      <c r="C26">
        <v>20</v>
      </c>
      <c r="D26">
        <v>20</v>
      </c>
      <c r="E26">
        <v>20</v>
      </c>
      <c r="F26">
        <v>20</v>
      </c>
      <c r="G26">
        <v>20</v>
      </c>
    </row>
    <row r="27" spans="1:7" x14ac:dyDescent="0.25">
      <c r="A27" s="1" t="s">
        <v>21</v>
      </c>
      <c r="B27" t="s">
        <v>14</v>
      </c>
      <c r="C27">
        <v>100</v>
      </c>
      <c r="D27">
        <v>100</v>
      </c>
      <c r="E27">
        <v>100</v>
      </c>
      <c r="F27">
        <v>100</v>
      </c>
      <c r="G27">
        <v>100</v>
      </c>
    </row>
    <row r="28" spans="1:7" x14ac:dyDescent="0.25">
      <c r="A28" s="1" t="s">
        <v>22</v>
      </c>
      <c r="B28" t="s">
        <v>14</v>
      </c>
      <c r="C28">
        <v>180</v>
      </c>
      <c r="D28">
        <v>180</v>
      </c>
      <c r="E28">
        <v>180</v>
      </c>
      <c r="F28">
        <v>180</v>
      </c>
      <c r="G28">
        <v>180</v>
      </c>
    </row>
    <row r="29" spans="1:7" x14ac:dyDescent="0.25">
      <c r="A29" s="11" t="s">
        <v>55</v>
      </c>
      <c r="B29" t="s">
        <v>14</v>
      </c>
      <c r="C29" s="3">
        <v>10000</v>
      </c>
      <c r="D29" s="3">
        <v>6000</v>
      </c>
      <c r="E29" s="3">
        <v>4000</v>
      </c>
      <c r="F29" s="3">
        <v>3000</v>
      </c>
      <c r="G29" s="3">
        <v>3000</v>
      </c>
    </row>
    <row r="31" spans="1:7" x14ac:dyDescent="0.25">
      <c r="C31" s="14" t="s">
        <v>47</v>
      </c>
      <c r="D31" s="14"/>
      <c r="E31" s="14"/>
      <c r="F31" s="14"/>
      <c r="G31" s="14"/>
    </row>
    <row r="32" spans="1:7" x14ac:dyDescent="0.25">
      <c r="B32" s="7" t="s">
        <v>0</v>
      </c>
      <c r="C32">
        <v>2015</v>
      </c>
      <c r="D32">
        <v>2020</v>
      </c>
      <c r="E32">
        <v>2030</v>
      </c>
      <c r="F32">
        <v>2040</v>
      </c>
      <c r="G32">
        <v>2050</v>
      </c>
    </row>
    <row r="33" spans="1:10" x14ac:dyDescent="0.25">
      <c r="A33" s="9" t="s">
        <v>43</v>
      </c>
      <c r="B33" s="8" t="s">
        <v>45</v>
      </c>
      <c r="C33">
        <v>4.8</v>
      </c>
      <c r="D33">
        <v>4.8</v>
      </c>
      <c r="E33">
        <f>D33</f>
        <v>4.8</v>
      </c>
      <c r="F33">
        <f t="shared" ref="F33:G33" si="10">E33</f>
        <v>4.8</v>
      </c>
      <c r="G33">
        <f t="shared" si="10"/>
        <v>4.8</v>
      </c>
    </row>
    <row r="34" spans="1:10" x14ac:dyDescent="0.25">
      <c r="A34" s="9" t="s">
        <v>44</v>
      </c>
      <c r="B34" s="8" t="s">
        <v>45</v>
      </c>
      <c r="C34">
        <v>17.2</v>
      </c>
      <c r="D34">
        <v>17.2</v>
      </c>
      <c r="E34">
        <f>D34</f>
        <v>17.2</v>
      </c>
      <c r="F34">
        <f t="shared" ref="F34:G34" si="11">E34</f>
        <v>17.2</v>
      </c>
      <c r="G34">
        <f t="shared" si="11"/>
        <v>17.2</v>
      </c>
    </row>
    <row r="35" spans="1:10" x14ac:dyDescent="0.25">
      <c r="A35" s="9" t="s">
        <v>46</v>
      </c>
      <c r="B35" s="8" t="s">
        <v>45</v>
      </c>
      <c r="C35">
        <f>France!C35/5</f>
        <v>0.88000000000000012</v>
      </c>
      <c r="D35">
        <f>France!D35/5</f>
        <v>0.88000000000000012</v>
      </c>
      <c r="E35">
        <f>($G35-$D35)/($G$32-$D$32)*(E$32-$D$32)+$D35</f>
        <v>0.76266666666666671</v>
      </c>
      <c r="F35">
        <f>($G35-$D35)/($G$32-$D$32)*(F$32-$D$32)+$D35</f>
        <v>0.64533333333333331</v>
      </c>
      <c r="G35">
        <f>0.6*C35</f>
        <v>0.52800000000000002</v>
      </c>
    </row>
    <row r="36" spans="1:10" x14ac:dyDescent="0.25">
      <c r="A36" s="9" t="s">
        <v>15</v>
      </c>
      <c r="B36" s="8" t="s">
        <v>45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10" x14ac:dyDescent="0.25">
      <c r="A37" s="9" t="s">
        <v>48</v>
      </c>
      <c r="B37" s="8" t="s">
        <v>45</v>
      </c>
      <c r="C37">
        <v>0.1</v>
      </c>
      <c r="D37">
        <v>0.1</v>
      </c>
      <c r="E37">
        <f>($G37-$D37)/($G$32-$D$32)*(E$32-$D$32)+$D37</f>
        <v>6.666666666666668E-2</v>
      </c>
      <c r="F37">
        <f>($G37-$D37)/($G$32-$D$32)*(F$32-$D$32)+$D37</f>
        <v>3.333333333333334E-2</v>
      </c>
      <c r="G37">
        <v>0</v>
      </c>
    </row>
    <row r="38" spans="1:10" x14ac:dyDescent="0.25">
      <c r="A38" s="9" t="s">
        <v>49</v>
      </c>
      <c r="B38" s="8" t="s">
        <v>45</v>
      </c>
      <c r="C38">
        <f>21*0.3</f>
        <v>6.3</v>
      </c>
      <c r="D38">
        <f>C38</f>
        <v>6.3</v>
      </c>
      <c r="E38">
        <f>SUM($C$38:$C$41)*0.125</f>
        <v>2.6249999999999996</v>
      </c>
      <c r="F38">
        <f>($G38-$E38)/($G$32-$E$32)*(F$32-$E$32)+$E38</f>
        <v>2.0015624999999995</v>
      </c>
      <c r="G38">
        <f>0.075*0.875*SUM($C$38:$C$41)</f>
        <v>1.3781249999999998</v>
      </c>
    </row>
    <row r="39" spans="1:10" x14ac:dyDescent="0.25">
      <c r="A39" s="9" t="s">
        <v>50</v>
      </c>
      <c r="B39" s="8" t="s">
        <v>45</v>
      </c>
      <c r="C39">
        <f>21-C38-C40</f>
        <v>11.549999999999999</v>
      </c>
      <c r="D39">
        <f t="shared" ref="D39:D41" si="12">C39</f>
        <v>11.549999999999999</v>
      </c>
      <c r="E39">
        <f>SUM($C$38:$C$41)*0.3</f>
        <v>6.2999999999999989</v>
      </c>
      <c r="F39">
        <f t="shared" ref="F39:F40" si="13">($G39-$E39)/($G$32-$E$32)*(F$32-$E$32)+$E39</f>
        <v>4.5281249999999993</v>
      </c>
      <c r="G39">
        <f>0.15*0.875*SUM($C$38:$C$41)</f>
        <v>2.7562499999999996</v>
      </c>
      <c r="J39" s="2"/>
    </row>
    <row r="40" spans="1:10" x14ac:dyDescent="0.25">
      <c r="A40" s="9" t="s">
        <v>51</v>
      </c>
      <c r="B40" s="8" t="s">
        <v>45</v>
      </c>
      <c r="C40">
        <f>21*0.15</f>
        <v>3.15</v>
      </c>
      <c r="D40">
        <f t="shared" si="12"/>
        <v>3.15</v>
      </c>
      <c r="E40">
        <f>SUM($C$38:$C$41)-E38-E39-E41</f>
        <v>6.8249999999999984</v>
      </c>
      <c r="F40">
        <f t="shared" si="13"/>
        <v>6.8578124999999979</v>
      </c>
      <c r="G40">
        <f>0.875*SUM($C$38:$C$41)-G38-G39-G41</f>
        <v>6.8906249999999964</v>
      </c>
    </row>
    <row r="41" spans="1:10" x14ac:dyDescent="0.25">
      <c r="A41" s="9" t="s">
        <v>52</v>
      </c>
      <c r="B41" s="8" t="s">
        <v>45</v>
      </c>
      <c r="C41">
        <v>0</v>
      </c>
      <c r="D41">
        <f t="shared" si="12"/>
        <v>0</v>
      </c>
      <c r="E41">
        <f>SUM($C$38:$C$41)*0.25</f>
        <v>5.2499999999999991</v>
      </c>
      <c r="F41">
        <f>($G41-$E41)/($G$32-$E$32)*(F$32-$E$32)+$E41</f>
        <v>6.2999999999999989</v>
      </c>
      <c r="G41">
        <f>0.4*0.875*SUM($C$38:$C$41)</f>
        <v>7.35</v>
      </c>
    </row>
  </sheetData>
  <mergeCells count="14">
    <mergeCell ref="C31:G31"/>
    <mergeCell ref="B12:G12"/>
    <mergeCell ref="A14:A15"/>
    <mergeCell ref="A1:G2"/>
    <mergeCell ref="K1:O1"/>
    <mergeCell ref="K2:K3"/>
    <mergeCell ref="L2:O2"/>
    <mergeCell ref="A3:A4"/>
    <mergeCell ref="B3:G3"/>
    <mergeCell ref="A16:A17"/>
    <mergeCell ref="A5:A6"/>
    <mergeCell ref="A7:A8"/>
    <mergeCell ref="A9:A10"/>
    <mergeCell ref="A12:A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3"/>
  <sheetViews>
    <sheetView topLeftCell="A10" workbookViewId="0">
      <selection activeCell="G20" sqref="G20"/>
    </sheetView>
  </sheetViews>
  <sheetFormatPr baseColWidth="10" defaultRowHeight="15" x14ac:dyDescent="0.25"/>
  <cols>
    <col min="1" max="1" width="17" bestFit="1" customWidth="1"/>
    <col min="2" max="2" width="22.5703125" bestFit="1" customWidth="1"/>
    <col min="3" max="3" width="12.28515625" bestFit="1" customWidth="1"/>
    <col min="10" max="10" width="24" bestFit="1" customWidth="1"/>
    <col min="11" max="11" width="16.28515625" bestFit="1" customWidth="1"/>
  </cols>
  <sheetData>
    <row r="1" spans="1:15" x14ac:dyDescent="0.25">
      <c r="A1" s="16" t="s">
        <v>40</v>
      </c>
      <c r="B1" s="16"/>
      <c r="C1" s="16"/>
      <c r="D1" s="16"/>
      <c r="E1" s="16"/>
      <c r="F1" s="16"/>
      <c r="G1" s="16"/>
      <c r="K1" s="15" t="s">
        <v>30</v>
      </c>
      <c r="L1" s="15"/>
      <c r="M1" s="15"/>
      <c r="N1" s="15"/>
      <c r="O1" s="15"/>
    </row>
    <row r="2" spans="1:15" x14ac:dyDescent="0.25">
      <c r="A2" s="16"/>
      <c r="B2" s="16"/>
      <c r="C2" s="16"/>
      <c r="D2" s="16"/>
      <c r="E2" s="16"/>
      <c r="F2" s="16"/>
      <c r="G2" s="16"/>
      <c r="K2" s="15" t="s">
        <v>31</v>
      </c>
      <c r="L2" s="15" t="s">
        <v>32</v>
      </c>
      <c r="M2" s="15"/>
      <c r="N2" s="15"/>
      <c r="O2" s="15"/>
    </row>
    <row r="3" spans="1:15" x14ac:dyDescent="0.25">
      <c r="A3" s="15"/>
      <c r="B3" s="15" t="s">
        <v>6</v>
      </c>
      <c r="C3" s="15"/>
      <c r="D3" s="15"/>
      <c r="E3" s="15"/>
      <c r="F3" s="15"/>
      <c r="G3" s="15"/>
      <c r="K3" s="15"/>
      <c r="L3">
        <v>2020</v>
      </c>
      <c r="M3">
        <v>2030</v>
      </c>
      <c r="N3">
        <v>2040</v>
      </c>
      <c r="O3">
        <v>2050</v>
      </c>
    </row>
    <row r="4" spans="1:15" x14ac:dyDescent="0.25">
      <c r="A4" s="15"/>
      <c r="B4" t="s">
        <v>0</v>
      </c>
      <c r="C4">
        <v>2015</v>
      </c>
      <c r="D4">
        <v>2020</v>
      </c>
      <c r="E4">
        <v>2030</v>
      </c>
      <c r="F4">
        <v>2040</v>
      </c>
      <c r="G4">
        <v>2050</v>
      </c>
      <c r="J4" t="s">
        <v>23</v>
      </c>
      <c r="K4" s="3">
        <v>12.07</v>
      </c>
      <c r="L4" s="3">
        <f>1.13*3.6*5.356007</f>
        <v>21.788236475999998</v>
      </c>
      <c r="M4" s="3">
        <f>1.13*3.6*5.475479</f>
        <v>22.274248571999998</v>
      </c>
      <c r="N4" s="3">
        <f>1.13*3.6*5.508015</f>
        <v>22.406605020000001</v>
      </c>
      <c r="O4" s="3">
        <f>1.13*3.6*5.304626</f>
        <v>21.579218567999998</v>
      </c>
    </row>
    <row r="5" spans="1:15" x14ac:dyDescent="0.25">
      <c r="A5" s="17" t="s">
        <v>1</v>
      </c>
      <c r="B5" t="s">
        <v>2</v>
      </c>
      <c r="C5">
        <f t="shared" ref="C5:F9" si="0">D5</f>
        <v>66.2</v>
      </c>
      <c r="D5">
        <f t="shared" si="0"/>
        <v>66.2</v>
      </c>
      <c r="E5">
        <f t="shared" si="0"/>
        <v>66.2</v>
      </c>
      <c r="F5">
        <f t="shared" si="0"/>
        <v>66.2</v>
      </c>
      <c r="G5" s="4">
        <f>SUM(K4:K8)</f>
        <v>66.2</v>
      </c>
      <c r="J5" t="s">
        <v>24</v>
      </c>
      <c r="K5" s="3">
        <v>19.559999999999999</v>
      </c>
      <c r="L5" s="3">
        <f>1.13*3.6*5.189836</f>
        <v>21.112252847999997</v>
      </c>
      <c r="M5" s="3">
        <f>1.13*3.6*5.475479</f>
        <v>22.274248571999998</v>
      </c>
      <c r="N5" s="3">
        <f>1.13*3.6*5.508015</f>
        <v>22.406605020000001</v>
      </c>
      <c r="O5" s="3">
        <f>1.13*3.6*5.304626</f>
        <v>21.579218567999998</v>
      </c>
    </row>
    <row r="6" spans="1:15" x14ac:dyDescent="0.25">
      <c r="A6" s="17"/>
      <c r="B6" t="s">
        <v>3</v>
      </c>
      <c r="C6" s="2">
        <f t="shared" si="0"/>
        <v>8390367.5538656525</v>
      </c>
      <c r="D6" s="2">
        <f t="shared" ref="D6:F6" si="1">D5*1000000/7.89</f>
        <v>8390367.5538656525</v>
      </c>
      <c r="E6" s="2">
        <f t="shared" si="1"/>
        <v>8390367.5538656525</v>
      </c>
      <c r="F6" s="2">
        <f t="shared" si="1"/>
        <v>8390367.5538656525</v>
      </c>
      <c r="G6" s="2">
        <f>G5*1000000/7.89</f>
        <v>8390367.5538656525</v>
      </c>
      <c r="J6" t="s">
        <v>25</v>
      </c>
      <c r="K6" s="3">
        <v>27.15</v>
      </c>
      <c r="L6" s="3">
        <f>1.13*6.462514*3.6</f>
        <v>26.289506951999996</v>
      </c>
      <c r="M6" s="3">
        <f>1.13*6.548916*3.6</f>
        <v>26.640990287999998</v>
      </c>
      <c r="N6" s="3">
        <f>1.13*6.632176*3.6</f>
        <v>26.979691968000001</v>
      </c>
      <c r="O6" s="3">
        <f>1.13*6.835162*3.6</f>
        <v>27.805439016000001</v>
      </c>
    </row>
    <row r="7" spans="1:15" x14ac:dyDescent="0.25">
      <c r="A7" s="17" t="s">
        <v>4</v>
      </c>
      <c r="B7" t="s">
        <v>2</v>
      </c>
      <c r="C7" s="3">
        <v>0</v>
      </c>
      <c r="D7" s="3">
        <v>0</v>
      </c>
      <c r="E7" s="3">
        <v>44</v>
      </c>
      <c r="F7">
        <f>(G7+E7)/2</f>
        <v>80.5</v>
      </c>
      <c r="G7" s="3">
        <v>117</v>
      </c>
      <c r="J7" t="s">
        <v>26</v>
      </c>
      <c r="K7" s="3">
        <v>7.38</v>
      </c>
      <c r="L7" s="3">
        <f>1.13*3.6*9.240256</f>
        <v>37.589361407999995</v>
      </c>
      <c r="M7" s="3">
        <f>1.13*3.6*8.369783</f>
        <v>34.048277243999998</v>
      </c>
      <c r="N7" s="3">
        <f>1.13*3.6*7.586323</f>
        <v>30.861161963999997</v>
      </c>
      <c r="O7" s="3">
        <f>1.13*3.6*6.881234</f>
        <v>27.992859911999997</v>
      </c>
    </row>
    <row r="8" spans="1:15" x14ac:dyDescent="0.25">
      <c r="A8" s="17"/>
      <c r="B8" t="s">
        <v>5</v>
      </c>
      <c r="C8" s="2">
        <f t="shared" ref="C8:C10" si="2">D8</f>
        <v>0</v>
      </c>
      <c r="D8" s="2">
        <f t="shared" ref="D8:F8" si="3">D7*1000000/13.1</f>
        <v>0</v>
      </c>
      <c r="E8" s="2">
        <f t="shared" si="3"/>
        <v>3358778.6259541987</v>
      </c>
      <c r="F8" s="2">
        <f t="shared" si="3"/>
        <v>6145038.1679389318</v>
      </c>
      <c r="G8" s="2">
        <f>G7*1000000/13.1</f>
        <v>8931297.7099236641</v>
      </c>
      <c r="J8" t="s">
        <v>27</v>
      </c>
      <c r="K8" s="3">
        <v>0.04</v>
      </c>
      <c r="L8" s="3">
        <f>L7</f>
        <v>37.589361407999995</v>
      </c>
      <c r="M8" s="3">
        <f t="shared" ref="M8:O8" si="4">M7</f>
        <v>34.048277243999998</v>
      </c>
      <c r="N8" s="3">
        <f t="shared" si="4"/>
        <v>30.861161963999997</v>
      </c>
      <c r="O8" s="3">
        <f t="shared" si="4"/>
        <v>27.992859911999997</v>
      </c>
    </row>
    <row r="9" spans="1:15" x14ac:dyDescent="0.25">
      <c r="A9" s="17" t="s">
        <v>18</v>
      </c>
      <c r="B9" t="s">
        <v>2</v>
      </c>
      <c r="C9">
        <f t="shared" si="2"/>
        <v>24.13</v>
      </c>
      <c r="D9">
        <f t="shared" si="0"/>
        <v>24.13</v>
      </c>
      <c r="E9">
        <f t="shared" si="0"/>
        <v>24.13</v>
      </c>
      <c r="F9">
        <f t="shared" si="0"/>
        <v>24.13</v>
      </c>
      <c r="G9" s="4">
        <f>SUM(K9:K10)</f>
        <v>24.13</v>
      </c>
      <c r="J9" t="s">
        <v>28</v>
      </c>
      <c r="K9" s="3">
        <v>2.2999999999999998</v>
      </c>
      <c r="L9" s="4"/>
      <c r="M9" s="4"/>
      <c r="N9" s="4"/>
      <c r="O9" s="4"/>
    </row>
    <row r="10" spans="1:15" x14ac:dyDescent="0.25">
      <c r="A10" s="17"/>
      <c r="B10" t="s">
        <v>19</v>
      </c>
      <c r="C10" s="2">
        <f t="shared" si="2"/>
        <v>5112288.1355932206</v>
      </c>
      <c r="D10" s="2">
        <f t="shared" ref="D10:F10" si="5">D9*1000000/4.72</f>
        <v>5112288.1355932206</v>
      </c>
      <c r="E10" s="2">
        <f t="shared" si="5"/>
        <v>5112288.1355932206</v>
      </c>
      <c r="F10" s="2">
        <f t="shared" si="5"/>
        <v>5112288.1355932206</v>
      </c>
      <c r="G10" s="2">
        <f>G9*1000000/4.72</f>
        <v>5112288.1355932206</v>
      </c>
      <c r="J10" t="s">
        <v>29</v>
      </c>
      <c r="K10" s="3">
        <v>21.83</v>
      </c>
      <c r="L10" s="4"/>
      <c r="M10" s="4"/>
      <c r="N10" s="4"/>
      <c r="O10" s="4"/>
    </row>
    <row r="12" spans="1:15" x14ac:dyDescent="0.25">
      <c r="A12" s="15"/>
      <c r="B12" s="15" t="s">
        <v>7</v>
      </c>
      <c r="C12" s="15"/>
      <c r="D12" s="15"/>
      <c r="E12" s="15"/>
      <c r="F12" s="15"/>
      <c r="G12" s="15"/>
    </row>
    <row r="13" spans="1:15" x14ac:dyDescent="0.25">
      <c r="A13" s="15"/>
      <c r="B13" t="s">
        <v>20</v>
      </c>
      <c r="C13">
        <v>2015</v>
      </c>
      <c r="D13">
        <v>2020</v>
      </c>
      <c r="E13">
        <v>2030</v>
      </c>
      <c r="F13">
        <v>2040</v>
      </c>
      <c r="G13">
        <v>2050</v>
      </c>
    </row>
    <row r="14" spans="1:15" x14ac:dyDescent="0.25">
      <c r="A14" s="17" t="s">
        <v>1</v>
      </c>
      <c r="B14" t="s">
        <v>8</v>
      </c>
      <c r="C14" s="4">
        <f>(D14-G14)/(G13-D13)*5+D14</f>
        <v>25.264639009132022</v>
      </c>
      <c r="D14" s="4">
        <f t="shared" ref="D14:F14" si="6">SUMPRODUCT($K$4:$K$8,L4:L8)/SUM($K$4:$K$8)</f>
        <v>25.205632256289423</v>
      </c>
      <c r="E14" s="4">
        <f t="shared" si="6"/>
        <v>25.384827580091233</v>
      </c>
      <c r="F14" s="4">
        <f t="shared" si="6"/>
        <v>25.229748874421144</v>
      </c>
      <c r="G14" s="4">
        <f>SUMPRODUCT($K$4:$K$8,O4:O8)/SUM($K$4:$K$8)</f>
        <v>24.851591739233832</v>
      </c>
    </row>
    <row r="15" spans="1:15" x14ac:dyDescent="0.25">
      <c r="A15" s="17"/>
      <c r="B15" t="s">
        <v>9</v>
      </c>
      <c r="C15" s="5">
        <f t="shared" ref="C15:F15" si="7">C14*7.89</f>
        <v>199.33800178205163</v>
      </c>
      <c r="D15" s="5">
        <f t="shared" si="7"/>
        <v>198.87243850212354</v>
      </c>
      <c r="E15" s="5">
        <f t="shared" si="7"/>
        <v>200.28628960691981</v>
      </c>
      <c r="F15" s="5">
        <f t="shared" si="7"/>
        <v>199.06271861918282</v>
      </c>
      <c r="G15" s="5">
        <f>G14*7.89</f>
        <v>196.07905882255494</v>
      </c>
    </row>
    <row r="16" spans="1:15" x14ac:dyDescent="0.25">
      <c r="A16" s="17" t="s">
        <v>4</v>
      </c>
      <c r="B16" t="s">
        <v>8</v>
      </c>
      <c r="C16">
        <v>122</v>
      </c>
      <c r="D16" s="3">
        <v>122</v>
      </c>
      <c r="E16" s="3">
        <v>82</v>
      </c>
      <c r="F16" s="4">
        <f>G16*0.5+E16*0.5</f>
        <v>71.759090909090915</v>
      </c>
      <c r="G16" s="3">
        <f>(68.9+88.2)/2*2/11+(68.9+58.3)/2*5/11+(42.5+58.3)/2*4/11</f>
        <v>61.518181818181823</v>
      </c>
    </row>
    <row r="17" spans="1:7" x14ac:dyDescent="0.25">
      <c r="A17" s="17"/>
      <c r="B17" t="s">
        <v>14</v>
      </c>
      <c r="C17">
        <f t="shared" ref="C17:F17" si="8">C16*13.1</f>
        <v>1598.2</v>
      </c>
      <c r="D17">
        <f t="shared" si="8"/>
        <v>1598.2</v>
      </c>
      <c r="E17">
        <f t="shared" si="8"/>
        <v>1074.2</v>
      </c>
      <c r="F17">
        <f t="shared" si="8"/>
        <v>940.04409090909098</v>
      </c>
      <c r="G17">
        <f>G16*13.1</f>
        <v>805.88818181818181</v>
      </c>
    </row>
    <row r="18" spans="1:7" x14ac:dyDescent="0.25">
      <c r="A18" s="1" t="s">
        <v>10</v>
      </c>
      <c r="B18" t="s">
        <v>8</v>
      </c>
      <c r="C18" s="3">
        <v>100</v>
      </c>
      <c r="D18">
        <f>($G$18-$C$18)/($G$13-$C$13)*(D13-$C$13)+$C$18</f>
        <v>103.57142857142857</v>
      </c>
      <c r="E18">
        <f>($G$18-$C$18)/($G$13-$C$13)*(E13-$C$13)+$C$18</f>
        <v>110.71428571428572</v>
      </c>
      <c r="F18">
        <f>($G$18-$C$18)/($G$13-$C$13)*(F13-$C$13)+$C$18</f>
        <v>117.85714285714286</v>
      </c>
      <c r="G18" s="3">
        <v>125</v>
      </c>
    </row>
    <row r="19" spans="1:7" x14ac:dyDescent="0.25">
      <c r="A19" s="12" t="s">
        <v>56</v>
      </c>
      <c r="B19" t="s">
        <v>8</v>
      </c>
      <c r="C19" s="3">
        <f>C18</f>
        <v>100</v>
      </c>
      <c r="D19" s="13">
        <f>D18*0.7</f>
        <v>72.5</v>
      </c>
      <c r="E19">
        <f>($G$19-$D$19)/($G$13-$D$13)*(E$13-$D$13)+$D$19</f>
        <v>61.666666666666671</v>
      </c>
      <c r="F19">
        <f>($G$19-$D$19)/($G$13-$D$13)*(F$13-$D$13)+$D$19</f>
        <v>50.833333333333336</v>
      </c>
      <c r="G19" s="3">
        <v>40</v>
      </c>
    </row>
    <row r="20" spans="1:7" x14ac:dyDescent="0.25">
      <c r="A20" s="12" t="s">
        <v>57</v>
      </c>
      <c r="B20" t="s">
        <v>8</v>
      </c>
      <c r="C20" s="3">
        <f>C19</f>
        <v>100</v>
      </c>
      <c r="D20" s="13">
        <f>D19*0.8</f>
        <v>58</v>
      </c>
      <c r="E20">
        <f>($G$20-$D$20)/($G$13-$D$13)*(E$13-$D$13)+$D$20</f>
        <v>45.333333333333336</v>
      </c>
      <c r="F20">
        <f>($G$20-$D$20)/($G$13-$D$13)*(F$13-$D$13)+$D$20</f>
        <v>32.666666666666671</v>
      </c>
      <c r="G20" s="3">
        <v>20</v>
      </c>
    </row>
    <row r="21" spans="1:7" x14ac:dyDescent="0.25">
      <c r="A21" s="1" t="s">
        <v>11</v>
      </c>
      <c r="B21" t="s">
        <v>17</v>
      </c>
      <c r="C21" s="3">
        <v>60</v>
      </c>
      <c r="D21" s="3">
        <v>80</v>
      </c>
      <c r="E21" s="3">
        <v>100</v>
      </c>
      <c r="F21" s="3">
        <v>120</v>
      </c>
      <c r="G21" s="3">
        <v>120</v>
      </c>
    </row>
    <row r="22" spans="1:7" x14ac:dyDescent="0.25">
      <c r="A22" s="1" t="s">
        <v>12</v>
      </c>
      <c r="B22" t="s">
        <v>17</v>
      </c>
      <c r="C22" s="3">
        <v>495</v>
      </c>
      <c r="D22" s="3">
        <v>495</v>
      </c>
      <c r="E22" s="3">
        <f>D22*1.5</f>
        <v>742.5</v>
      </c>
      <c r="F22" s="3">
        <f>E22</f>
        <v>742.5</v>
      </c>
      <c r="G22" s="3">
        <f>E22</f>
        <v>742.5</v>
      </c>
    </row>
    <row r="23" spans="1:7" x14ac:dyDescent="0.25">
      <c r="A23" s="1" t="s">
        <v>16</v>
      </c>
      <c r="B23" t="s">
        <v>17</v>
      </c>
      <c r="C23" s="3">
        <v>664</v>
      </c>
      <c r="D23" s="3">
        <v>664</v>
      </c>
      <c r="E23" s="3">
        <v>664</v>
      </c>
      <c r="F23" s="3">
        <v>664</v>
      </c>
      <c r="G23" s="3">
        <v>664</v>
      </c>
    </row>
    <row r="24" spans="1:7" x14ac:dyDescent="0.25">
      <c r="A24" s="1" t="s">
        <v>18</v>
      </c>
      <c r="B24" t="s">
        <v>14</v>
      </c>
      <c r="C24">
        <f t="shared" ref="C24:F24" si="9">D24</f>
        <v>14.203522585992538</v>
      </c>
      <c r="D24">
        <f t="shared" si="9"/>
        <v>14.203522585992538</v>
      </c>
      <c r="E24">
        <f t="shared" si="9"/>
        <v>14.203522585992538</v>
      </c>
      <c r="F24">
        <f t="shared" si="9"/>
        <v>14.203522585992538</v>
      </c>
      <c r="G24" s="3">
        <f>K10*15.7/G9</f>
        <v>14.203522585992538</v>
      </c>
    </row>
    <row r="25" spans="1:7" x14ac:dyDescent="0.25">
      <c r="A25" s="1" t="s">
        <v>15</v>
      </c>
      <c r="B25" t="s">
        <v>14</v>
      </c>
      <c r="C25" s="3">
        <v>700</v>
      </c>
      <c r="D25">
        <f>C25</f>
        <v>700</v>
      </c>
      <c r="E25">
        <f>($G$25-$D$25)/($G$13-$D$13)*(E$13-$D$13)+$D$25</f>
        <v>700</v>
      </c>
      <c r="F25">
        <f>($G$25-$D$25)/($G$13-$D$13)*(F$13-$D$13)+$D$25</f>
        <v>700</v>
      </c>
      <c r="G25" s="3">
        <v>700</v>
      </c>
    </row>
    <row r="26" spans="1:7" x14ac:dyDescent="0.25">
      <c r="A26" s="1" t="s">
        <v>13</v>
      </c>
      <c r="B26" t="s">
        <v>14</v>
      </c>
      <c r="C26">
        <v>20</v>
      </c>
      <c r="D26">
        <v>20</v>
      </c>
      <c r="E26">
        <v>20</v>
      </c>
      <c r="F26">
        <v>20</v>
      </c>
      <c r="G26">
        <v>20</v>
      </c>
    </row>
    <row r="27" spans="1:7" x14ac:dyDescent="0.25">
      <c r="A27" s="1" t="s">
        <v>21</v>
      </c>
      <c r="B27" t="s">
        <v>14</v>
      </c>
      <c r="C27">
        <v>100</v>
      </c>
      <c r="D27">
        <v>100</v>
      </c>
      <c r="E27">
        <v>100</v>
      </c>
      <c r="F27">
        <v>100</v>
      </c>
      <c r="G27">
        <v>100</v>
      </c>
    </row>
    <row r="28" spans="1:7" x14ac:dyDescent="0.25">
      <c r="A28" s="1" t="s">
        <v>22</v>
      </c>
      <c r="B28" t="s">
        <v>14</v>
      </c>
      <c r="C28">
        <v>180</v>
      </c>
      <c r="D28">
        <v>180</v>
      </c>
      <c r="E28">
        <v>180</v>
      </c>
      <c r="F28">
        <v>180</v>
      </c>
      <c r="G28">
        <v>180</v>
      </c>
    </row>
    <row r="29" spans="1:7" x14ac:dyDescent="0.25">
      <c r="A29" s="11" t="s">
        <v>55</v>
      </c>
      <c r="B29" t="s">
        <v>14</v>
      </c>
      <c r="C29" s="3">
        <v>10000</v>
      </c>
      <c r="D29" s="3">
        <v>6000</v>
      </c>
      <c r="E29" s="3">
        <v>4000</v>
      </c>
      <c r="F29" s="3">
        <v>3000</v>
      </c>
      <c r="G29" s="3">
        <v>3000</v>
      </c>
    </row>
    <row r="31" spans="1:7" x14ac:dyDescent="0.25">
      <c r="C31" s="14" t="s">
        <v>47</v>
      </c>
      <c r="D31" s="14"/>
      <c r="E31" s="14"/>
      <c r="F31" s="14"/>
      <c r="G31" s="14"/>
    </row>
    <row r="32" spans="1:7" x14ac:dyDescent="0.25">
      <c r="B32" s="7" t="s">
        <v>0</v>
      </c>
      <c r="C32">
        <v>2015</v>
      </c>
      <c r="D32">
        <v>2020</v>
      </c>
      <c r="E32">
        <v>2030</v>
      </c>
      <c r="F32">
        <v>2040</v>
      </c>
      <c r="G32">
        <v>2050</v>
      </c>
    </row>
    <row r="33" spans="1:10" x14ac:dyDescent="0.25">
      <c r="A33" s="9" t="s">
        <v>43</v>
      </c>
      <c r="B33" s="8" t="s">
        <v>45</v>
      </c>
      <c r="C33">
        <v>9</v>
      </c>
      <c r="D33">
        <v>9</v>
      </c>
      <c r="E33">
        <f>D33</f>
        <v>9</v>
      </c>
      <c r="F33">
        <f>(E33+G33)/2</f>
        <v>7.25</v>
      </c>
      <c r="G33">
        <f>0.5*($D$33+$D$34)</f>
        <v>5.5</v>
      </c>
    </row>
    <row r="34" spans="1:10" x14ac:dyDescent="0.25">
      <c r="A34" s="9" t="s">
        <v>44</v>
      </c>
      <c r="B34" s="8" t="s">
        <v>45</v>
      </c>
      <c r="C34">
        <v>2</v>
      </c>
      <c r="D34">
        <v>2</v>
      </c>
      <c r="E34">
        <f>D34</f>
        <v>2</v>
      </c>
      <c r="F34">
        <f>(E34+G34)/2</f>
        <v>3.75</v>
      </c>
      <c r="G34">
        <f>0.5*($D$33+$D$34)</f>
        <v>5.5</v>
      </c>
    </row>
    <row r="35" spans="1:10" x14ac:dyDescent="0.25">
      <c r="A35" s="9" t="s">
        <v>46</v>
      </c>
      <c r="B35" s="8" t="s">
        <v>45</v>
      </c>
      <c r="C35">
        <v>0</v>
      </c>
      <c r="D35">
        <v>0</v>
      </c>
      <c r="E35">
        <f>($G35-$D35)/($G$32-$D$32)*(E$32-$D$32)+$D35</f>
        <v>0</v>
      </c>
      <c r="F35">
        <f>($G35-$D35)/($G$32-$D$32)*(F$32-$D$32)+$D35</f>
        <v>0</v>
      </c>
      <c r="G35">
        <f>0.6*C35</f>
        <v>0</v>
      </c>
    </row>
    <row r="36" spans="1:10" x14ac:dyDescent="0.25">
      <c r="A36" s="9" t="s">
        <v>15</v>
      </c>
      <c r="B36" s="8" t="s">
        <v>45</v>
      </c>
      <c r="C36">
        <v>1E-3</v>
      </c>
      <c r="D36">
        <v>1E-3</v>
      </c>
      <c r="E36">
        <v>1E-3</v>
      </c>
      <c r="F36">
        <v>1E-3</v>
      </c>
      <c r="G36">
        <v>1E-3</v>
      </c>
    </row>
    <row r="37" spans="1:10" x14ac:dyDescent="0.25">
      <c r="A37" s="9" t="s">
        <v>48</v>
      </c>
      <c r="B37" s="8" t="s">
        <v>45</v>
      </c>
      <c r="C37">
        <v>0.6</v>
      </c>
      <c r="D37">
        <v>0.6</v>
      </c>
      <c r="E37">
        <f>($G37-$D37)/($G$32-$D$32)*(E$32-$D$32)+$D37</f>
        <v>0.39999999999999997</v>
      </c>
      <c r="F37">
        <f>($G37-$D37)/($G$32-$D$32)*(F$32-$D$32)+$D37</f>
        <v>0.19999999999999996</v>
      </c>
      <c r="G37">
        <v>0</v>
      </c>
    </row>
    <row r="38" spans="1:10" x14ac:dyDescent="0.25">
      <c r="A38" s="9" t="s">
        <v>49</v>
      </c>
      <c r="B38" s="8" t="s">
        <v>45</v>
      </c>
      <c r="C38">
        <f>11*0.3</f>
        <v>3.3</v>
      </c>
      <c r="D38">
        <f>C38</f>
        <v>3.3</v>
      </c>
      <c r="E38">
        <f>SUM($C$38:$C$41)*0.125</f>
        <v>1.3750000000000002</v>
      </c>
      <c r="F38">
        <f>($G38-$E38)/($G$32-$E$32)*(F$32-$E$32)+$E38</f>
        <v>1.0484375000000001</v>
      </c>
      <c r="G38">
        <f>0.075*0.875*SUM($C$38:$C$41)</f>
        <v>0.72187500000000016</v>
      </c>
    </row>
    <row r="39" spans="1:10" x14ac:dyDescent="0.25">
      <c r="A39" s="9" t="s">
        <v>50</v>
      </c>
      <c r="B39" s="8" t="s">
        <v>45</v>
      </c>
      <c r="C39">
        <f>11-C38-C40</f>
        <v>6.0500000000000007</v>
      </c>
      <c r="D39">
        <f t="shared" ref="D39:D41" si="10">C39</f>
        <v>6.0500000000000007</v>
      </c>
      <c r="E39">
        <f>SUM($C$38:$C$41)*0.3</f>
        <v>3.3000000000000003</v>
      </c>
      <c r="F39">
        <f t="shared" ref="F39:F40" si="11">($G39-$E39)/($G$32-$E$32)*(F$32-$E$32)+$E39</f>
        <v>2.3718750000000002</v>
      </c>
      <c r="G39">
        <f>0.15*0.875*SUM($C$38:$C$41)</f>
        <v>1.4437500000000003</v>
      </c>
      <c r="J39" s="2"/>
    </row>
    <row r="40" spans="1:10" x14ac:dyDescent="0.25">
      <c r="A40" s="9" t="s">
        <v>51</v>
      </c>
      <c r="B40" s="8" t="s">
        <v>45</v>
      </c>
      <c r="C40">
        <f>11*0.15</f>
        <v>1.65</v>
      </c>
      <c r="D40">
        <f t="shared" si="10"/>
        <v>1.65</v>
      </c>
      <c r="E40">
        <f>SUM($C$38:$C$41)-E38-E39-E41</f>
        <v>3.5750000000000006</v>
      </c>
      <c r="F40">
        <f t="shared" si="11"/>
        <v>3.5921875000000001</v>
      </c>
      <c r="G40">
        <f>0.875*SUM($C$38:$C$41)-G38-G39-G41</f>
        <v>3.6093749999999996</v>
      </c>
    </row>
    <row r="41" spans="1:10" x14ac:dyDescent="0.25">
      <c r="A41" s="9" t="s">
        <v>52</v>
      </c>
      <c r="B41" s="8" t="s">
        <v>45</v>
      </c>
      <c r="C41">
        <v>0</v>
      </c>
      <c r="D41">
        <f t="shared" si="10"/>
        <v>0</v>
      </c>
      <c r="E41">
        <f>SUM($C$38:$C$41)*0.25</f>
        <v>2.7500000000000004</v>
      </c>
      <c r="F41">
        <f>($G41-$E41)/($G$32-$E$32)*(F$32-$E$32)+$E41</f>
        <v>3.3000000000000007</v>
      </c>
      <c r="G41">
        <f>0.4*0.875*SUM($C$38:$C$41)</f>
        <v>3.850000000000001</v>
      </c>
    </row>
    <row r="43" spans="1:10" x14ac:dyDescent="0.25">
      <c r="C43" s="10"/>
    </row>
  </sheetData>
  <mergeCells count="14">
    <mergeCell ref="C31:G31"/>
    <mergeCell ref="B12:G12"/>
    <mergeCell ref="A14:A15"/>
    <mergeCell ref="A1:G2"/>
    <mergeCell ref="K1:O1"/>
    <mergeCell ref="K2:K3"/>
    <mergeCell ref="L2:O2"/>
    <mergeCell ref="A3:A4"/>
    <mergeCell ref="B3:G3"/>
    <mergeCell ref="A16:A17"/>
    <mergeCell ref="A5:A6"/>
    <mergeCell ref="A7:A8"/>
    <mergeCell ref="A9:A10"/>
    <mergeCell ref="A12:A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3"/>
  <sheetViews>
    <sheetView topLeftCell="A10" workbookViewId="0">
      <selection activeCell="G20" sqref="G20"/>
    </sheetView>
  </sheetViews>
  <sheetFormatPr baseColWidth="10" defaultRowHeight="15" x14ac:dyDescent="0.25"/>
  <cols>
    <col min="1" max="1" width="17" bestFit="1" customWidth="1"/>
    <col min="2" max="2" width="22.5703125" bestFit="1" customWidth="1"/>
    <col min="3" max="3" width="13.28515625" bestFit="1" customWidth="1"/>
    <col min="10" max="10" width="24" bestFit="1" customWidth="1"/>
    <col min="11" max="11" width="16.28515625" bestFit="1" customWidth="1"/>
  </cols>
  <sheetData>
    <row r="1" spans="1:15" x14ac:dyDescent="0.25">
      <c r="A1" s="16" t="s">
        <v>41</v>
      </c>
      <c r="B1" s="16"/>
      <c r="C1" s="16"/>
      <c r="D1" s="16"/>
      <c r="E1" s="16"/>
      <c r="F1" s="16"/>
      <c r="G1" s="16"/>
      <c r="K1" s="15" t="s">
        <v>30</v>
      </c>
      <c r="L1" s="15"/>
      <c r="M1" s="15"/>
      <c r="N1" s="15"/>
      <c r="O1" s="15"/>
    </row>
    <row r="2" spans="1:15" x14ac:dyDescent="0.25">
      <c r="A2" s="16"/>
      <c r="B2" s="16"/>
      <c r="C2" s="16"/>
      <c r="D2" s="16"/>
      <c r="E2" s="16"/>
      <c r="F2" s="16"/>
      <c r="G2" s="16"/>
      <c r="K2" s="15" t="s">
        <v>31</v>
      </c>
      <c r="L2" s="15" t="s">
        <v>32</v>
      </c>
      <c r="M2" s="15"/>
      <c r="N2" s="15"/>
      <c r="O2" s="15"/>
    </row>
    <row r="3" spans="1:15" x14ac:dyDescent="0.25">
      <c r="A3" s="15"/>
      <c r="B3" s="15" t="s">
        <v>6</v>
      </c>
      <c r="C3" s="15"/>
      <c r="D3" s="15"/>
      <c r="E3" s="15"/>
      <c r="F3" s="15"/>
      <c r="G3" s="15"/>
      <c r="K3" s="15"/>
      <c r="L3">
        <v>2020</v>
      </c>
      <c r="M3">
        <v>2030</v>
      </c>
      <c r="N3">
        <v>2040</v>
      </c>
      <c r="O3">
        <v>2050</v>
      </c>
    </row>
    <row r="4" spans="1:15" x14ac:dyDescent="0.25">
      <c r="A4" s="15"/>
      <c r="B4" t="s">
        <v>0</v>
      </c>
      <c r="C4">
        <v>2015</v>
      </c>
      <c r="D4">
        <v>2020</v>
      </c>
      <c r="E4">
        <v>2030</v>
      </c>
      <c r="F4">
        <v>2040</v>
      </c>
      <c r="G4">
        <v>2050</v>
      </c>
      <c r="J4" t="s">
        <v>23</v>
      </c>
      <c r="K4" s="3">
        <v>24.22</v>
      </c>
      <c r="L4" s="3">
        <f>1.13*3.6*4.986415</f>
        <v>20.284736219999999</v>
      </c>
      <c r="M4" s="3">
        <f>1.13*3.6*4.608253</f>
        <v>18.746373204000001</v>
      </c>
      <c r="N4" s="3">
        <f>1.13*3.6*4.380732</f>
        <v>17.820817775999998</v>
      </c>
      <c r="O4" s="3">
        <f>1.13*3.6*4.244216</f>
        <v>17.265470687999997</v>
      </c>
    </row>
    <row r="5" spans="1:15" x14ac:dyDescent="0.25">
      <c r="A5" s="17" t="s">
        <v>1</v>
      </c>
      <c r="B5" t="s">
        <v>2</v>
      </c>
      <c r="C5">
        <f t="shared" ref="C5:F9" si="0">D5</f>
        <v>111.27</v>
      </c>
      <c r="D5">
        <f t="shared" si="0"/>
        <v>111.27</v>
      </c>
      <c r="E5">
        <f t="shared" si="0"/>
        <v>111.27</v>
      </c>
      <c r="F5">
        <f t="shared" si="0"/>
        <v>111.27</v>
      </c>
      <c r="G5" s="4">
        <f>SUM(K4:K8)</f>
        <v>111.27</v>
      </c>
      <c r="J5" t="s">
        <v>24</v>
      </c>
      <c r="K5" s="3">
        <v>48.37</v>
      </c>
      <c r="L5" s="3">
        <f>1.13*3.6*(3.755507+8.131599)/2</f>
        <v>24.178373603999997</v>
      </c>
      <c r="M5" s="3">
        <f>1.13*3.6*(4.007985+7.702611)/2</f>
        <v>23.819352263999996</v>
      </c>
      <c r="N5" s="3">
        <f>1.13*3.6*(4.03314+7.440387)/2</f>
        <v>23.337153917999998</v>
      </c>
      <c r="O5" s="3">
        <f>1.13*3.6*(4.058296+7.250021)/2</f>
        <v>23.001116778</v>
      </c>
    </row>
    <row r="6" spans="1:15" x14ac:dyDescent="0.25">
      <c r="A6" s="17"/>
      <c r="B6" t="s">
        <v>3</v>
      </c>
      <c r="C6" s="2">
        <f t="shared" si="0"/>
        <v>14102661.596958175</v>
      </c>
      <c r="D6" s="2">
        <f t="shared" ref="D6:F6" si="1">D5*1000000/7.89</f>
        <v>14102661.596958175</v>
      </c>
      <c r="E6" s="2">
        <f t="shared" si="1"/>
        <v>14102661.596958175</v>
      </c>
      <c r="F6" s="2">
        <f t="shared" si="1"/>
        <v>14102661.596958175</v>
      </c>
      <c r="G6" s="2">
        <f>G5*1000000/7.89</f>
        <v>14102661.596958175</v>
      </c>
      <c r="J6" t="s">
        <v>25</v>
      </c>
      <c r="K6" s="3">
        <v>15.52</v>
      </c>
      <c r="L6" s="3">
        <f>1.13*4.624015*3.6</f>
        <v>18.810493019999999</v>
      </c>
      <c r="M6" s="3">
        <f>1.13*4.731698*3.6</f>
        <v>19.248547463999998</v>
      </c>
      <c r="N6" s="3">
        <f>1.13*4.761447*3.6</f>
        <v>19.369566396</v>
      </c>
      <c r="O6" s="3">
        <f>1.13*4.790427*3.6</f>
        <v>19.487457035999999</v>
      </c>
    </row>
    <row r="7" spans="1:15" x14ac:dyDescent="0.25">
      <c r="A7" s="17" t="s">
        <v>4</v>
      </c>
      <c r="B7" t="s">
        <v>2</v>
      </c>
      <c r="C7" s="3">
        <v>0</v>
      </c>
      <c r="D7" s="3">
        <v>0</v>
      </c>
      <c r="E7" s="3">
        <v>39</v>
      </c>
      <c r="F7">
        <f>(G7+E7)/2</f>
        <v>117</v>
      </c>
      <c r="G7" s="3">
        <v>195</v>
      </c>
      <c r="J7" t="s">
        <v>26</v>
      </c>
      <c r="K7" s="3">
        <v>11.68</v>
      </c>
      <c r="L7" s="3">
        <f>1.13*3.6*(3.697319+11.25311)/2</f>
        <v>30.409172585999997</v>
      </c>
      <c r="M7" s="3">
        <f>1.13*3.6*(3.406791+10.17299)/2</f>
        <v>27.621274553999999</v>
      </c>
      <c r="N7" s="3">
        <f>1.13*3.6*(3.145316+9.20084)/2</f>
        <v>25.112081303999997</v>
      </c>
      <c r="O7" s="3">
        <f>1.13*3.6*(2.909989+8.325895)/2</f>
        <v>22.853788055999996</v>
      </c>
    </row>
    <row r="8" spans="1:15" x14ac:dyDescent="0.25">
      <c r="A8" s="17"/>
      <c r="B8" t="s">
        <v>5</v>
      </c>
      <c r="C8" s="2">
        <f t="shared" ref="C8:C10" si="2">D8</f>
        <v>0</v>
      </c>
      <c r="D8" s="2">
        <f t="shared" ref="D8:F8" si="3">D7*1000000/13.1</f>
        <v>0</v>
      </c>
      <c r="E8" s="2">
        <f t="shared" si="3"/>
        <v>2977099.2366412217</v>
      </c>
      <c r="F8" s="2">
        <f t="shared" si="3"/>
        <v>8931297.7099236641</v>
      </c>
      <c r="G8" s="2">
        <f>G7*1000000/13.1</f>
        <v>14885496.183206107</v>
      </c>
      <c r="J8" t="s">
        <v>27</v>
      </c>
      <c r="K8" s="3">
        <v>11.48</v>
      </c>
      <c r="L8" s="3">
        <f>L7</f>
        <v>30.409172585999997</v>
      </c>
      <c r="M8" s="3">
        <f t="shared" ref="M8:O8" si="4">M7</f>
        <v>27.621274553999999</v>
      </c>
      <c r="N8" s="3">
        <f t="shared" si="4"/>
        <v>25.112081303999997</v>
      </c>
      <c r="O8" s="3">
        <f t="shared" si="4"/>
        <v>22.853788055999996</v>
      </c>
    </row>
    <row r="9" spans="1:15" x14ac:dyDescent="0.25">
      <c r="A9" s="17" t="s">
        <v>18</v>
      </c>
      <c r="B9" t="s">
        <v>2</v>
      </c>
      <c r="C9">
        <f t="shared" si="2"/>
        <v>21.55</v>
      </c>
      <c r="D9">
        <f t="shared" si="0"/>
        <v>21.55</v>
      </c>
      <c r="E9">
        <f t="shared" si="0"/>
        <v>21.55</v>
      </c>
      <c r="F9">
        <f t="shared" si="0"/>
        <v>21.55</v>
      </c>
      <c r="G9" s="4">
        <f>SUM(K9:K10)</f>
        <v>21.55</v>
      </c>
      <c r="J9" t="s">
        <v>28</v>
      </c>
      <c r="K9" s="3">
        <v>4.2</v>
      </c>
      <c r="L9" s="4"/>
      <c r="M9" s="4"/>
      <c r="N9" s="4"/>
      <c r="O9" s="4"/>
    </row>
    <row r="10" spans="1:15" x14ac:dyDescent="0.25">
      <c r="A10" s="17"/>
      <c r="B10" t="s">
        <v>19</v>
      </c>
      <c r="C10" s="2">
        <f t="shared" si="2"/>
        <v>4565677.9661016949</v>
      </c>
      <c r="D10" s="2">
        <f t="shared" ref="D10:F10" si="5">D9*1000000/4.72</f>
        <v>4565677.9661016949</v>
      </c>
      <c r="E10" s="2">
        <f t="shared" si="5"/>
        <v>4565677.9661016949</v>
      </c>
      <c r="F10" s="2">
        <f t="shared" si="5"/>
        <v>4565677.9661016949</v>
      </c>
      <c r="G10" s="2">
        <f>G9*1000000/4.72</f>
        <v>4565677.9661016949</v>
      </c>
      <c r="J10" t="s">
        <v>29</v>
      </c>
      <c r="K10" s="3">
        <v>17.350000000000001</v>
      </c>
      <c r="L10" s="4"/>
      <c r="M10" s="4"/>
      <c r="N10" s="4"/>
      <c r="O10" s="4"/>
    </row>
    <row r="12" spans="1:15" x14ac:dyDescent="0.25">
      <c r="A12" s="15"/>
      <c r="B12" s="15" t="s">
        <v>7</v>
      </c>
      <c r="C12" s="15"/>
      <c r="D12" s="15"/>
      <c r="E12" s="15"/>
      <c r="F12" s="15"/>
      <c r="G12" s="15"/>
    </row>
    <row r="13" spans="1:15" x14ac:dyDescent="0.25">
      <c r="A13" s="15"/>
      <c r="B13" t="s">
        <v>20</v>
      </c>
      <c r="C13">
        <v>2015</v>
      </c>
      <c r="D13">
        <v>2020</v>
      </c>
      <c r="E13">
        <v>2030</v>
      </c>
      <c r="F13">
        <v>2040</v>
      </c>
      <c r="G13">
        <v>2050</v>
      </c>
    </row>
    <row r="14" spans="1:15" x14ac:dyDescent="0.25">
      <c r="A14" s="17" t="s">
        <v>1</v>
      </c>
      <c r="B14" t="s">
        <v>8</v>
      </c>
      <c r="C14" s="4">
        <f>(D14-G14)/(G13-D13)*5+D14</f>
        <v>24.320217991464276</v>
      </c>
      <c r="D14" s="4">
        <f t="shared" ref="D14:F14" si="6">SUMPRODUCT($K$4:$K$8,L4:L8)/SUM($K$4:$K$8)</f>
        <v>23.879028769983282</v>
      </c>
      <c r="E14" s="4">
        <f t="shared" si="6"/>
        <v>22.868926065628468</v>
      </c>
      <c r="F14" s="4">
        <f t="shared" si="6"/>
        <v>21.952456322593154</v>
      </c>
      <c r="G14" s="4">
        <f>SUMPRODUCT($K$4:$K$8,O4:O8)/SUM($K$4:$K$8)</f>
        <v>21.231893441097331</v>
      </c>
    </row>
    <row r="15" spans="1:15" x14ac:dyDescent="0.25">
      <c r="A15" s="17"/>
      <c r="B15" t="s">
        <v>9</v>
      </c>
      <c r="C15" s="5">
        <f t="shared" ref="C15:F15" si="7">C14*7.89</f>
        <v>191.88651995265312</v>
      </c>
      <c r="D15" s="5">
        <f t="shared" si="7"/>
        <v>188.40553699516809</v>
      </c>
      <c r="E15" s="5">
        <f t="shared" si="7"/>
        <v>180.4358266578086</v>
      </c>
      <c r="F15" s="5">
        <f t="shared" si="7"/>
        <v>173.20488038525997</v>
      </c>
      <c r="G15" s="5">
        <f>G14*7.89</f>
        <v>167.51963925025794</v>
      </c>
    </row>
    <row r="16" spans="1:15" x14ac:dyDescent="0.25">
      <c r="A16" s="17" t="s">
        <v>4</v>
      </c>
      <c r="B16" t="s">
        <v>8</v>
      </c>
      <c r="C16">
        <v>122</v>
      </c>
      <c r="D16" s="3">
        <v>122</v>
      </c>
      <c r="E16" s="3">
        <v>82</v>
      </c>
      <c r="F16" s="4">
        <f>G16*0.5+E16*0.5</f>
        <v>70.096428571428575</v>
      </c>
      <c r="G16" s="3">
        <f>(68.9+88.2)/2*1/7+(68.9+58.3)/2*2/7+(42.5+58.3)/2*4/7</f>
        <v>58.19285714285715</v>
      </c>
    </row>
    <row r="17" spans="1:7" x14ac:dyDescent="0.25">
      <c r="A17" s="17"/>
      <c r="B17" t="s">
        <v>14</v>
      </c>
      <c r="C17">
        <f t="shared" ref="C17:F17" si="8">C16*13.1</f>
        <v>1598.2</v>
      </c>
      <c r="D17">
        <f t="shared" si="8"/>
        <v>1598.2</v>
      </c>
      <c r="E17">
        <f t="shared" si="8"/>
        <v>1074.2</v>
      </c>
      <c r="F17">
        <f t="shared" si="8"/>
        <v>918.2632142857143</v>
      </c>
      <c r="G17">
        <f>G16*13.1</f>
        <v>762.32642857142866</v>
      </c>
    </row>
    <row r="18" spans="1:7" x14ac:dyDescent="0.25">
      <c r="A18" s="1" t="s">
        <v>10</v>
      </c>
      <c r="B18" t="s">
        <v>8</v>
      </c>
      <c r="C18" s="3">
        <v>80</v>
      </c>
      <c r="D18">
        <f>($G$18-$C$18)/($G$13-$C$13)*(D13-$C$13)+$C$18</f>
        <v>86.428571428571431</v>
      </c>
      <c r="E18">
        <f>($G$18-$C$18)/($G$13-$C$13)*(E13-$C$13)+$C$18</f>
        <v>99.285714285714292</v>
      </c>
      <c r="F18">
        <f>($G$18-$C$18)/($G$13-$C$13)*(F13-$C$13)+$C$18</f>
        <v>112.14285714285714</v>
      </c>
      <c r="G18" s="3">
        <v>125</v>
      </c>
    </row>
    <row r="19" spans="1:7" x14ac:dyDescent="0.25">
      <c r="A19" s="12" t="s">
        <v>56</v>
      </c>
      <c r="B19" t="s">
        <v>8</v>
      </c>
      <c r="C19" s="3">
        <f>C18</f>
        <v>80</v>
      </c>
      <c r="D19" s="13">
        <f>D18*0.7</f>
        <v>60.5</v>
      </c>
      <c r="E19">
        <f>($G$19-$D$19)/($G$13-$D$13)*(E$13-$D$13)+$D$19</f>
        <v>53.666666666666664</v>
      </c>
      <c r="F19">
        <f>($G$19-$D$19)/($G$13-$D$13)*(F$13-$D$13)+$D$19</f>
        <v>46.833333333333329</v>
      </c>
      <c r="G19" s="3">
        <v>40</v>
      </c>
    </row>
    <row r="20" spans="1:7" x14ac:dyDescent="0.25">
      <c r="A20" s="12" t="s">
        <v>57</v>
      </c>
      <c r="B20" t="s">
        <v>8</v>
      </c>
      <c r="C20" s="3">
        <f>C19</f>
        <v>80</v>
      </c>
      <c r="D20" s="13">
        <f>D19*0.8</f>
        <v>48.400000000000006</v>
      </c>
      <c r="E20">
        <f>($G$20-$D$20)/($G$13-$D$13)*(E$13-$D$13)+$D$20</f>
        <v>38.933333333333337</v>
      </c>
      <c r="F20">
        <f>($G$20-$D$20)/($G$13-$D$13)*(F$13-$D$13)+$D$20</f>
        <v>29.466666666666669</v>
      </c>
      <c r="G20" s="3">
        <v>20</v>
      </c>
    </row>
    <row r="21" spans="1:7" x14ac:dyDescent="0.25">
      <c r="A21" s="1" t="s">
        <v>11</v>
      </c>
      <c r="B21" t="s">
        <v>17</v>
      </c>
      <c r="C21" s="3">
        <v>60</v>
      </c>
      <c r="D21" s="3">
        <v>80</v>
      </c>
      <c r="E21" s="3">
        <v>100</v>
      </c>
      <c r="F21" s="3">
        <v>120</v>
      </c>
      <c r="G21" s="3">
        <v>120</v>
      </c>
    </row>
    <row r="22" spans="1:7" x14ac:dyDescent="0.25">
      <c r="A22" s="1" t="s">
        <v>12</v>
      </c>
      <c r="B22" t="s">
        <v>17</v>
      </c>
      <c r="C22" s="3">
        <v>495</v>
      </c>
      <c r="D22" s="3">
        <v>495</v>
      </c>
      <c r="E22" s="3">
        <f>D22*1.5</f>
        <v>742.5</v>
      </c>
      <c r="F22" s="3">
        <f>E22</f>
        <v>742.5</v>
      </c>
      <c r="G22" s="3">
        <f>E22</f>
        <v>742.5</v>
      </c>
    </row>
    <row r="23" spans="1:7" x14ac:dyDescent="0.25">
      <c r="A23" s="1" t="s">
        <v>16</v>
      </c>
      <c r="B23" t="s">
        <v>17</v>
      </c>
      <c r="C23" s="3">
        <v>664</v>
      </c>
      <c r="D23" s="3">
        <v>664</v>
      </c>
      <c r="E23" s="3">
        <v>664</v>
      </c>
      <c r="F23" s="3">
        <v>664</v>
      </c>
      <c r="G23" s="3">
        <v>664</v>
      </c>
    </row>
    <row r="24" spans="1:7" x14ac:dyDescent="0.25">
      <c r="A24" s="1" t="s">
        <v>18</v>
      </c>
      <c r="B24" t="s">
        <v>14</v>
      </c>
      <c r="C24">
        <f t="shared" ref="C24:F24" si="9">D24</f>
        <v>13.042691415313225</v>
      </c>
      <c r="D24">
        <f t="shared" si="9"/>
        <v>13.042691415313225</v>
      </c>
      <c r="E24">
        <f t="shared" si="9"/>
        <v>13.042691415313225</v>
      </c>
      <c r="F24">
        <f t="shared" si="9"/>
        <v>13.042691415313225</v>
      </c>
      <c r="G24" s="3">
        <f>K10*16.2/G9</f>
        <v>13.042691415313225</v>
      </c>
    </row>
    <row r="25" spans="1:7" x14ac:dyDescent="0.25">
      <c r="A25" s="1" t="s">
        <v>15</v>
      </c>
      <c r="B25" t="s">
        <v>14</v>
      </c>
      <c r="C25" s="3">
        <v>700</v>
      </c>
      <c r="D25">
        <f>C25</f>
        <v>700</v>
      </c>
      <c r="E25">
        <f>($G$25-$D$25)/($G$13-$D$13)*(E$13-$D$13)+$D$25</f>
        <v>700</v>
      </c>
      <c r="F25">
        <f>($G$25-$D$25)/($G$13-$D$13)*(F$13-$D$13)+$D$25</f>
        <v>700</v>
      </c>
      <c r="G25" s="3">
        <v>700</v>
      </c>
    </row>
    <row r="26" spans="1:7" x14ac:dyDescent="0.25">
      <c r="A26" s="1" t="s">
        <v>13</v>
      </c>
      <c r="B26" t="s">
        <v>14</v>
      </c>
      <c r="C26">
        <v>20</v>
      </c>
      <c r="D26">
        <v>20</v>
      </c>
      <c r="E26">
        <v>20</v>
      </c>
      <c r="F26">
        <v>20</v>
      </c>
      <c r="G26">
        <v>20</v>
      </c>
    </row>
    <row r="27" spans="1:7" x14ac:dyDescent="0.25">
      <c r="A27" s="1" t="s">
        <v>21</v>
      </c>
      <c r="B27" t="s">
        <v>14</v>
      </c>
      <c r="C27">
        <v>100</v>
      </c>
      <c r="D27">
        <v>100</v>
      </c>
      <c r="E27">
        <v>100</v>
      </c>
      <c r="F27">
        <v>100</v>
      </c>
      <c r="G27">
        <v>100</v>
      </c>
    </row>
    <row r="28" spans="1:7" x14ac:dyDescent="0.25">
      <c r="A28" s="1" t="s">
        <v>22</v>
      </c>
      <c r="B28" t="s">
        <v>14</v>
      </c>
      <c r="C28">
        <v>180</v>
      </c>
      <c r="D28">
        <v>180</v>
      </c>
      <c r="E28">
        <v>180</v>
      </c>
      <c r="F28">
        <v>180</v>
      </c>
      <c r="G28">
        <v>180</v>
      </c>
    </row>
    <row r="29" spans="1:7" x14ac:dyDescent="0.25">
      <c r="A29" s="11" t="s">
        <v>55</v>
      </c>
      <c r="B29" t="s">
        <v>14</v>
      </c>
      <c r="C29" s="3">
        <v>10000</v>
      </c>
      <c r="D29" s="3">
        <v>6000</v>
      </c>
      <c r="E29" s="3">
        <v>4000</v>
      </c>
      <c r="F29" s="3">
        <v>3000</v>
      </c>
      <c r="G29" s="3">
        <v>3000</v>
      </c>
    </row>
    <row r="31" spans="1:7" x14ac:dyDescent="0.25">
      <c r="C31" s="14" t="s">
        <v>47</v>
      </c>
      <c r="D31" s="14"/>
      <c r="E31" s="14"/>
      <c r="F31" s="14"/>
      <c r="G31" s="14"/>
    </row>
    <row r="32" spans="1:7" x14ac:dyDescent="0.25">
      <c r="B32" s="7" t="s">
        <v>0</v>
      </c>
      <c r="C32">
        <v>2015</v>
      </c>
      <c r="D32">
        <v>2020</v>
      </c>
      <c r="E32">
        <v>2030</v>
      </c>
      <c r="F32">
        <v>2040</v>
      </c>
      <c r="G32">
        <v>2050</v>
      </c>
    </row>
    <row r="33" spans="1:10" x14ac:dyDescent="0.25">
      <c r="A33" s="9" t="s">
        <v>43</v>
      </c>
      <c r="B33" s="8" t="s">
        <v>45</v>
      </c>
      <c r="C33">
        <v>4.7</v>
      </c>
      <c r="D33">
        <v>4.7</v>
      </c>
      <c r="E33">
        <f>D33</f>
        <v>4.7</v>
      </c>
      <c r="F33">
        <f t="shared" ref="F33:G33" si="10">E33</f>
        <v>4.7</v>
      </c>
      <c r="G33">
        <f t="shared" si="10"/>
        <v>4.7</v>
      </c>
    </row>
    <row r="34" spans="1:10" x14ac:dyDescent="0.25">
      <c r="A34" s="9" t="s">
        <v>44</v>
      </c>
      <c r="B34" s="8" t="s">
        <v>45</v>
      </c>
      <c r="C34">
        <v>10</v>
      </c>
      <c r="D34">
        <v>10</v>
      </c>
      <c r="E34">
        <f>D34</f>
        <v>10</v>
      </c>
      <c r="F34">
        <f t="shared" ref="F34:G34" si="11">E34</f>
        <v>10</v>
      </c>
      <c r="G34">
        <f t="shared" si="11"/>
        <v>10</v>
      </c>
    </row>
    <row r="35" spans="1:10" x14ac:dyDescent="0.25">
      <c r="A35" s="9" t="s">
        <v>46</v>
      </c>
      <c r="B35" s="8" t="s">
        <v>45</v>
      </c>
      <c r="C35">
        <v>2.7</v>
      </c>
      <c r="D35">
        <v>2.7</v>
      </c>
      <c r="E35">
        <f>($G35-$D35)/($G$32-$D$32)*(E$32-$D$32)+$D35</f>
        <v>2.3400000000000003</v>
      </c>
      <c r="F35">
        <f>($G35-$D35)/($G$32-$D$32)*(F$32-$D$32)+$D35</f>
        <v>1.98</v>
      </c>
      <c r="G35">
        <f>0.6*C35</f>
        <v>1.62</v>
      </c>
    </row>
    <row r="36" spans="1:10" x14ac:dyDescent="0.25">
      <c r="A36" s="9" t="s">
        <v>15</v>
      </c>
      <c r="B36" s="8" t="s">
        <v>45</v>
      </c>
      <c r="C36">
        <v>1E-3</v>
      </c>
      <c r="D36">
        <v>1E-3</v>
      </c>
      <c r="E36">
        <v>1E-3</v>
      </c>
      <c r="F36">
        <v>1E-3</v>
      </c>
      <c r="G36">
        <v>1E-3</v>
      </c>
    </row>
    <row r="37" spans="1:10" x14ac:dyDescent="0.25">
      <c r="A37" s="9" t="s">
        <v>48</v>
      </c>
      <c r="B37" s="8" t="s">
        <v>45</v>
      </c>
      <c r="C37">
        <v>0.4</v>
      </c>
      <c r="D37">
        <v>0.4</v>
      </c>
      <c r="E37">
        <f>($G37-$D37)/($G$32-$D$32)*(E$32-$D$32)+$D37</f>
        <v>0.26666666666666672</v>
      </c>
      <c r="F37">
        <f>($G37-$D37)/($G$32-$D$32)*(F$32-$D$32)+$D37</f>
        <v>0.13333333333333336</v>
      </c>
      <c r="G37">
        <v>0</v>
      </c>
    </row>
    <row r="38" spans="1:10" x14ac:dyDescent="0.25">
      <c r="A38" s="9" t="s">
        <v>49</v>
      </c>
      <c r="B38" s="8" t="s">
        <v>45</v>
      </c>
      <c r="C38">
        <f>15*0.3</f>
        <v>4.5</v>
      </c>
      <c r="D38">
        <f>C38</f>
        <v>4.5</v>
      </c>
      <c r="E38">
        <f>SUM($C$38:$C$41)*0.125</f>
        <v>1.875</v>
      </c>
      <c r="F38">
        <f>($G38-$E38)/($G$32-$E$32)*(F$32-$E$32)+$E38</f>
        <v>1.4296875</v>
      </c>
      <c r="G38">
        <f>0.075*0.875*SUM($C$38:$C$41)</f>
        <v>0.984375</v>
      </c>
    </row>
    <row r="39" spans="1:10" x14ac:dyDescent="0.25">
      <c r="A39" s="9" t="s">
        <v>50</v>
      </c>
      <c r="B39" s="8" t="s">
        <v>45</v>
      </c>
      <c r="C39">
        <f>15-C38-C40</f>
        <v>8.25</v>
      </c>
      <c r="D39">
        <f t="shared" ref="D39:D41" si="12">C39</f>
        <v>8.25</v>
      </c>
      <c r="E39">
        <f>SUM($C$38:$C$41)*0.3</f>
        <v>4.5</v>
      </c>
      <c r="F39">
        <f t="shared" ref="F39:F40" si="13">($G39-$E39)/($G$32-$E$32)*(F$32-$E$32)+$E39</f>
        <v>3.234375</v>
      </c>
      <c r="G39">
        <f>0.15*0.875*SUM($C$38:$C$41)</f>
        <v>1.96875</v>
      </c>
      <c r="J39" s="2"/>
    </row>
    <row r="40" spans="1:10" x14ac:dyDescent="0.25">
      <c r="A40" s="9" t="s">
        <v>51</v>
      </c>
      <c r="B40" s="8" t="s">
        <v>45</v>
      </c>
      <c r="C40">
        <f>15*0.15</f>
        <v>2.25</v>
      </c>
      <c r="D40">
        <f t="shared" si="12"/>
        <v>2.25</v>
      </c>
      <c r="E40">
        <f>SUM($C$38:$C$41)-E38-E39-E41</f>
        <v>4.875</v>
      </c>
      <c r="F40">
        <f t="shared" si="13"/>
        <v>4.8984375</v>
      </c>
      <c r="G40">
        <f>0.875*SUM($C$38:$C$41)-G38-G39-G41</f>
        <v>4.9218749999999991</v>
      </c>
    </row>
    <row r="41" spans="1:10" x14ac:dyDescent="0.25">
      <c r="A41" s="9" t="s">
        <v>52</v>
      </c>
      <c r="B41" s="8" t="s">
        <v>45</v>
      </c>
      <c r="C41">
        <v>0</v>
      </c>
      <c r="D41">
        <f t="shared" si="12"/>
        <v>0</v>
      </c>
      <c r="E41">
        <f>SUM($C$38:$C$41)*0.25</f>
        <v>3.75</v>
      </c>
      <c r="F41">
        <f>($G41-$E41)/($G$32-$E$32)*(F$32-$E$32)+$E41</f>
        <v>4.5</v>
      </c>
      <c r="G41">
        <f>0.4*0.875*SUM($C$38:$C$41)</f>
        <v>5.2500000000000009</v>
      </c>
    </row>
    <row r="43" spans="1:10" x14ac:dyDescent="0.25">
      <c r="C43" s="10"/>
    </row>
  </sheetData>
  <mergeCells count="14">
    <mergeCell ref="C31:G31"/>
    <mergeCell ref="B12:G12"/>
    <mergeCell ref="A14:A15"/>
    <mergeCell ref="A1:G2"/>
    <mergeCell ref="K1:O1"/>
    <mergeCell ref="K2:K3"/>
    <mergeCell ref="L2:O2"/>
    <mergeCell ref="A3:A4"/>
    <mergeCell ref="B3:G3"/>
    <mergeCell ref="A16:A17"/>
    <mergeCell ref="A5:A6"/>
    <mergeCell ref="A7:A8"/>
    <mergeCell ref="A9:A10"/>
    <mergeCell ref="A12:A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4"/>
  <sheetViews>
    <sheetView tabSelected="1" topLeftCell="A7" workbookViewId="0">
      <selection activeCell="G16" sqref="G16"/>
    </sheetView>
  </sheetViews>
  <sheetFormatPr baseColWidth="10" defaultRowHeight="15" x14ac:dyDescent="0.25"/>
  <cols>
    <col min="1" max="1" width="17" bestFit="1" customWidth="1"/>
    <col min="2" max="2" width="22.5703125" bestFit="1" customWidth="1"/>
    <col min="3" max="3" width="12.28515625" bestFit="1" customWidth="1"/>
    <col min="10" max="10" width="24" bestFit="1" customWidth="1"/>
    <col min="11" max="11" width="16.28515625" bestFit="1" customWidth="1"/>
  </cols>
  <sheetData>
    <row r="1" spans="1:15" x14ac:dyDescent="0.25">
      <c r="A1" s="16" t="s">
        <v>42</v>
      </c>
      <c r="B1" s="16"/>
      <c r="C1" s="16"/>
      <c r="D1" s="16"/>
      <c r="E1" s="16"/>
      <c r="F1" s="16"/>
      <c r="G1" s="16"/>
      <c r="K1" s="15" t="s">
        <v>30</v>
      </c>
      <c r="L1" s="15"/>
      <c r="M1" s="15"/>
      <c r="N1" s="15"/>
      <c r="O1" s="15"/>
    </row>
    <row r="2" spans="1:15" x14ac:dyDescent="0.25">
      <c r="A2" s="16"/>
      <c r="B2" s="16"/>
      <c r="C2" s="16"/>
      <c r="D2" s="16"/>
      <c r="E2" s="16"/>
      <c r="F2" s="16"/>
      <c r="G2" s="16"/>
      <c r="K2" s="15" t="s">
        <v>31</v>
      </c>
      <c r="L2" s="15" t="s">
        <v>32</v>
      </c>
      <c r="M2" s="15"/>
      <c r="N2" s="15"/>
      <c r="O2" s="15"/>
    </row>
    <row r="3" spans="1:15" x14ac:dyDescent="0.25">
      <c r="A3" s="15"/>
      <c r="B3" s="15" t="s">
        <v>6</v>
      </c>
      <c r="C3" s="15"/>
      <c r="D3" s="15"/>
      <c r="E3" s="15"/>
      <c r="F3" s="15"/>
      <c r="G3" s="15"/>
      <c r="K3" s="15"/>
      <c r="L3">
        <v>2020</v>
      </c>
      <c r="M3">
        <v>2030</v>
      </c>
      <c r="N3">
        <v>2040</v>
      </c>
      <c r="O3">
        <v>2050</v>
      </c>
    </row>
    <row r="4" spans="1:15" x14ac:dyDescent="0.25">
      <c r="A4" s="15"/>
      <c r="B4" t="s">
        <v>0</v>
      </c>
      <c r="C4">
        <v>2015</v>
      </c>
      <c r="D4">
        <v>2020</v>
      </c>
      <c r="E4">
        <v>2030</v>
      </c>
      <c r="F4">
        <v>2040</v>
      </c>
      <c r="G4">
        <v>2050</v>
      </c>
      <c r="J4" t="s">
        <v>23</v>
      </c>
      <c r="K4" s="3">
        <v>1</v>
      </c>
      <c r="L4" s="3">
        <f>1.13*3.6*4.3411</f>
        <v>17.659594799999997</v>
      </c>
      <c r="M4" s="3">
        <f>1.13*3.6*3.9511</f>
        <v>16.073074799999997</v>
      </c>
      <c r="N4" s="3">
        <f>1.13*3.6*3.709903</f>
        <v>15.091885403999999</v>
      </c>
      <c r="O4" s="3">
        <f>1.13*3.6*3.549586</f>
        <v>14.439715847999999</v>
      </c>
    </row>
    <row r="5" spans="1:15" x14ac:dyDescent="0.25">
      <c r="A5" s="17" t="s">
        <v>1</v>
      </c>
      <c r="B5" t="s">
        <v>2</v>
      </c>
      <c r="C5">
        <f t="shared" ref="C5:F9" si="0">D5</f>
        <v>10.899999999999999</v>
      </c>
      <c r="D5">
        <f t="shared" si="0"/>
        <v>10.899999999999999</v>
      </c>
      <c r="E5">
        <f t="shared" si="0"/>
        <v>10.899999999999999</v>
      </c>
      <c r="F5">
        <f t="shared" si="0"/>
        <v>10.899999999999999</v>
      </c>
      <c r="G5" s="4">
        <f>SUM(K4:K8)</f>
        <v>10.899999999999999</v>
      </c>
      <c r="J5" t="s">
        <v>24</v>
      </c>
      <c r="K5" s="3">
        <v>1.54</v>
      </c>
      <c r="L5" s="3">
        <f>1.13*3.6*3.793452</f>
        <v>15.431762735999998</v>
      </c>
      <c r="M5" s="3">
        <f>1.13*3.6*4.045929</f>
        <v>16.458839171999998</v>
      </c>
      <c r="N5" s="3">
        <f>1.13*3.6*4.071085</f>
        <v>16.561173779999997</v>
      </c>
      <c r="O5" s="3">
        <f>1.13*3.6*4.09624</f>
        <v>16.663504319999998</v>
      </c>
    </row>
    <row r="6" spans="1:15" x14ac:dyDescent="0.25">
      <c r="A6" s="17"/>
      <c r="B6" t="s">
        <v>3</v>
      </c>
      <c r="C6" s="2">
        <f t="shared" si="0"/>
        <v>1381495.5640050694</v>
      </c>
      <c r="D6" s="2">
        <f t="shared" ref="D6:F6" si="1">D5*1000000/7.89</f>
        <v>1381495.5640050694</v>
      </c>
      <c r="E6" s="2">
        <f t="shared" si="1"/>
        <v>1381495.5640050694</v>
      </c>
      <c r="F6" s="2">
        <f t="shared" si="1"/>
        <v>1381495.5640050694</v>
      </c>
      <c r="G6" s="2">
        <f>G5*1000000/7.89</f>
        <v>1381495.5640050694</v>
      </c>
      <c r="J6" t="s">
        <v>25</v>
      </c>
      <c r="K6" s="3">
        <v>7.25</v>
      </c>
      <c r="L6" s="3">
        <f>1.13*6.088407*3.6</f>
        <v>24.767639675999998</v>
      </c>
      <c r="M6" s="3">
        <f>1.13*6.140086*3.6</f>
        <v>24.977869847999997</v>
      </c>
      <c r="N6" s="3">
        <f>1.13*6.176253*3.6</f>
        <v>25.124997203999996</v>
      </c>
      <c r="O6" s="3">
        <f>1.13*6.213957*3.6</f>
        <v>25.278377075999995</v>
      </c>
    </row>
    <row r="7" spans="1:15" x14ac:dyDescent="0.25">
      <c r="A7" s="17" t="s">
        <v>4</v>
      </c>
      <c r="B7" t="s">
        <v>2</v>
      </c>
      <c r="C7" s="3">
        <v>0</v>
      </c>
      <c r="D7" s="3">
        <v>0</v>
      </c>
      <c r="E7" s="3">
        <v>5</v>
      </c>
      <c r="F7">
        <f>(G7+E7)/2</f>
        <v>12.5</v>
      </c>
      <c r="G7" s="3">
        <v>20</v>
      </c>
      <c r="J7" t="s">
        <v>26</v>
      </c>
      <c r="K7" s="3">
        <v>1.08</v>
      </c>
      <c r="L7" s="3">
        <f>1.13*3.6*(2.301065+6.271879+10.72979)/3</f>
        <v>26.174507303999999</v>
      </c>
      <c r="M7" s="3">
        <f>1.13*3.6*(5.694776+2.116079+9.707846)/3</f>
        <v>23.755358556000001</v>
      </c>
      <c r="N7" s="3">
        <f>1.13*3.6*(5.175354+1.949594+8.788097)/3</f>
        <v>21.578089019999997</v>
      </c>
      <c r="O7" s="3">
        <f>1.13*3.6*(4.707889+1.79976+7.960425)/3</f>
        <v>19.618708343999998</v>
      </c>
    </row>
    <row r="8" spans="1:15" x14ac:dyDescent="0.25">
      <c r="A8" s="17"/>
      <c r="B8" t="s">
        <v>5</v>
      </c>
      <c r="C8" s="2">
        <f t="shared" ref="C8:C10" si="2">D8</f>
        <v>0</v>
      </c>
      <c r="D8" s="2">
        <f t="shared" ref="D8:F8" si="3">D7*1000000/13.1</f>
        <v>0</v>
      </c>
      <c r="E8" s="2">
        <f t="shared" si="3"/>
        <v>381679.38931297709</v>
      </c>
      <c r="F8" s="2">
        <f t="shared" si="3"/>
        <v>954198.47328244278</v>
      </c>
      <c r="G8" s="2">
        <f>G7*1000000/13.1</f>
        <v>1526717.5572519084</v>
      </c>
      <c r="J8" t="s">
        <v>27</v>
      </c>
      <c r="K8" s="3">
        <v>0.03</v>
      </c>
      <c r="L8" s="3">
        <f>L7</f>
        <v>26.174507303999999</v>
      </c>
      <c r="M8" s="3">
        <f t="shared" ref="M8:O8" si="4">M7</f>
        <v>23.755358556000001</v>
      </c>
      <c r="N8" s="3">
        <f t="shared" si="4"/>
        <v>21.578089019999997</v>
      </c>
      <c r="O8" s="3">
        <f t="shared" si="4"/>
        <v>19.618708343999998</v>
      </c>
    </row>
    <row r="9" spans="1:15" x14ac:dyDescent="0.25">
      <c r="A9" s="17" t="s">
        <v>18</v>
      </c>
      <c r="B9" t="s">
        <v>2</v>
      </c>
      <c r="C9">
        <f t="shared" si="2"/>
        <v>4.21</v>
      </c>
      <c r="D9">
        <f t="shared" si="0"/>
        <v>4.21</v>
      </c>
      <c r="E9">
        <f t="shared" si="0"/>
        <v>4.21</v>
      </c>
      <c r="F9">
        <f t="shared" si="0"/>
        <v>4.21</v>
      </c>
      <c r="G9" s="4">
        <f>SUM(K9:K10)</f>
        <v>4.21</v>
      </c>
      <c r="J9" t="s">
        <v>28</v>
      </c>
      <c r="K9" s="3">
        <v>0.74</v>
      </c>
      <c r="L9" s="4"/>
      <c r="M9" s="4"/>
      <c r="N9" s="4"/>
      <c r="O9" s="4"/>
    </row>
    <row r="10" spans="1:15" x14ac:dyDescent="0.25">
      <c r="A10" s="17"/>
      <c r="B10" t="s">
        <v>19</v>
      </c>
      <c r="C10" s="2">
        <f t="shared" si="2"/>
        <v>891949.15254237293</v>
      </c>
      <c r="D10" s="2">
        <f t="shared" ref="D10:F10" si="5">D9*1000000/4.72</f>
        <v>891949.15254237293</v>
      </c>
      <c r="E10" s="2">
        <f t="shared" si="5"/>
        <v>891949.15254237293</v>
      </c>
      <c r="F10" s="2">
        <f t="shared" si="5"/>
        <v>891949.15254237293</v>
      </c>
      <c r="G10" s="2">
        <f>G9*1000000/4.72</f>
        <v>891949.15254237293</v>
      </c>
      <c r="J10" t="s">
        <v>29</v>
      </c>
      <c r="K10" s="3">
        <v>3.47</v>
      </c>
      <c r="L10" s="4"/>
      <c r="M10" s="4"/>
      <c r="N10" s="4"/>
      <c r="O10" s="4"/>
    </row>
    <row r="12" spans="1:15" x14ac:dyDescent="0.25">
      <c r="A12" s="15"/>
      <c r="B12" s="15" t="s">
        <v>7</v>
      </c>
      <c r="C12" s="15"/>
      <c r="D12" s="15"/>
      <c r="E12" s="15"/>
      <c r="F12" s="15"/>
      <c r="G12" s="15"/>
    </row>
    <row r="13" spans="1:15" x14ac:dyDescent="0.25">
      <c r="A13" s="15"/>
      <c r="B13" t="s">
        <v>20</v>
      </c>
      <c r="C13">
        <v>2015</v>
      </c>
      <c r="D13">
        <v>2020</v>
      </c>
      <c r="E13">
        <v>2030</v>
      </c>
      <c r="F13">
        <v>2040</v>
      </c>
      <c r="G13">
        <v>2050</v>
      </c>
    </row>
    <row r="14" spans="1:15" x14ac:dyDescent="0.25">
      <c r="A14" s="17" t="s">
        <v>1</v>
      </c>
      <c r="B14" t="s">
        <v>8</v>
      </c>
      <c r="C14">
        <f>(D14-G14)/(G13-D13)*5+D14</f>
        <v>23.014658847699081</v>
      </c>
      <c r="D14" s="4">
        <f t="shared" ref="D14:F14" si="6">SUMPRODUCT($K$4:$K$8,L4:L8)/SUM($K$4:$K$8)</f>
        <v>22.939779832282568</v>
      </c>
      <c r="E14" s="4">
        <f t="shared" si="6"/>
        <v>22.832815735783491</v>
      </c>
      <c r="F14" s="4">
        <f t="shared" si="6"/>
        <v>22.633394639119267</v>
      </c>
      <c r="G14" s="4">
        <f>SUMPRODUCT($K$4:$K$8,O4:O8)/SUM($K$4:$K$8)</f>
        <v>22.490505739783487</v>
      </c>
    </row>
    <row r="15" spans="1:15" x14ac:dyDescent="0.25">
      <c r="A15" s="17"/>
      <c r="B15" t="s">
        <v>9</v>
      </c>
      <c r="C15" s="5">
        <f t="shared" ref="C15:F15" si="7">C14*7.89</f>
        <v>181.58565830834576</v>
      </c>
      <c r="D15" s="5">
        <f t="shared" si="7"/>
        <v>180.99486287670945</v>
      </c>
      <c r="E15" s="5">
        <f t="shared" si="7"/>
        <v>180.15091615533174</v>
      </c>
      <c r="F15" s="5">
        <f t="shared" si="7"/>
        <v>178.57748370265099</v>
      </c>
      <c r="G15" s="5">
        <f>G14*7.89</f>
        <v>177.45009028689171</v>
      </c>
    </row>
    <row r="16" spans="1:15" x14ac:dyDescent="0.25">
      <c r="A16" s="17" t="s">
        <v>4</v>
      </c>
      <c r="B16" t="s">
        <v>8</v>
      </c>
      <c r="C16">
        <v>122</v>
      </c>
      <c r="D16" s="3">
        <v>122</v>
      </c>
      <c r="E16" s="3">
        <v>82</v>
      </c>
      <c r="F16" s="4">
        <f>G16*0.5+E16*0.5</f>
        <v>69.5</v>
      </c>
      <c r="G16" s="3">
        <f>(68.9+58.3)/2*0.5+(42.5+58.3)/2*0.5</f>
        <v>57</v>
      </c>
    </row>
    <row r="17" spans="1:7" x14ac:dyDescent="0.25">
      <c r="A17" s="17"/>
      <c r="B17" t="s">
        <v>14</v>
      </c>
      <c r="C17">
        <f t="shared" ref="C17:F17" si="8">C16*13.1</f>
        <v>1598.2</v>
      </c>
      <c r="D17">
        <f t="shared" si="8"/>
        <v>1598.2</v>
      </c>
      <c r="E17">
        <f t="shared" si="8"/>
        <v>1074.2</v>
      </c>
      <c r="F17">
        <f t="shared" si="8"/>
        <v>910.44999999999993</v>
      </c>
      <c r="G17">
        <f>G16*13.1</f>
        <v>746.69999999999993</v>
      </c>
    </row>
    <row r="18" spans="1:7" x14ac:dyDescent="0.25">
      <c r="A18" s="1" t="s">
        <v>10</v>
      </c>
      <c r="B18" t="s">
        <v>8</v>
      </c>
      <c r="C18" s="3">
        <v>84</v>
      </c>
      <c r="D18">
        <f>($G$18-$C$18)/($G$13-$C$13)*(D13-$C$13)+$C$18</f>
        <v>89.857142857142861</v>
      </c>
      <c r="E18">
        <f>($G$18-$C$18)/($G$13-$C$13)*(E13-$C$13)+$C$18</f>
        <v>101.57142857142857</v>
      </c>
      <c r="F18">
        <f>($G$18-$C$18)/($G$13-$C$13)*(F13-$C$13)+$C$18</f>
        <v>113.28571428571429</v>
      </c>
      <c r="G18" s="3">
        <v>125</v>
      </c>
    </row>
    <row r="19" spans="1:7" x14ac:dyDescent="0.25">
      <c r="A19" s="12" t="s">
        <v>56</v>
      </c>
      <c r="B19" t="s">
        <v>8</v>
      </c>
      <c r="C19" s="3">
        <f>C18</f>
        <v>84</v>
      </c>
      <c r="D19" s="13">
        <f>D18*0.7</f>
        <v>62.9</v>
      </c>
      <c r="E19">
        <f>($G$19-$D$19)/($G$13-$D$13)*(E$13-$D$13)+$D$19</f>
        <v>55.266666666666666</v>
      </c>
      <c r="F19">
        <f>($G$19-$D$19)/($G$13-$D$13)*(F$13-$D$13)+$D$19</f>
        <v>47.633333333333333</v>
      </c>
      <c r="G19" s="3">
        <v>40</v>
      </c>
    </row>
    <row r="20" spans="1:7" x14ac:dyDescent="0.25">
      <c r="A20" s="12" t="s">
        <v>57</v>
      </c>
      <c r="B20" t="s">
        <v>8</v>
      </c>
      <c r="C20" s="3">
        <f>C19</f>
        <v>84</v>
      </c>
      <c r="D20" s="13">
        <f>D19*0.8</f>
        <v>50.32</v>
      </c>
      <c r="E20">
        <f>($G$20-$D$20)/($G$13-$D$13)*(E$13-$D$13)+$D$20</f>
        <v>40.213333333333338</v>
      </c>
      <c r="F20">
        <f>($G$20-$D$20)/($G$13-$D$13)*(F$13-$D$13)+$D$20</f>
        <v>30.106666666666669</v>
      </c>
      <c r="G20" s="3">
        <v>20</v>
      </c>
    </row>
    <row r="21" spans="1:7" x14ac:dyDescent="0.25">
      <c r="A21" s="1" t="s">
        <v>11</v>
      </c>
      <c r="B21" t="s">
        <v>17</v>
      </c>
      <c r="C21" s="3">
        <v>60</v>
      </c>
      <c r="D21" s="3">
        <v>80</v>
      </c>
      <c r="E21" s="3">
        <v>100</v>
      </c>
      <c r="F21" s="3">
        <v>120</v>
      </c>
      <c r="G21" s="3">
        <v>120</v>
      </c>
    </row>
    <row r="22" spans="1:7" x14ac:dyDescent="0.25">
      <c r="A22" s="1" t="s">
        <v>12</v>
      </c>
      <c r="B22" t="s">
        <v>17</v>
      </c>
      <c r="C22" s="3">
        <v>495</v>
      </c>
      <c r="D22" s="3">
        <v>495</v>
      </c>
      <c r="E22" s="3">
        <f>D22*1.5</f>
        <v>742.5</v>
      </c>
      <c r="F22" s="3">
        <f>E22</f>
        <v>742.5</v>
      </c>
      <c r="G22" s="3">
        <f>E22</f>
        <v>742.5</v>
      </c>
    </row>
    <row r="23" spans="1:7" x14ac:dyDescent="0.25">
      <c r="A23" s="1" t="s">
        <v>16</v>
      </c>
      <c r="B23" t="s">
        <v>17</v>
      </c>
      <c r="C23" s="3">
        <v>664</v>
      </c>
      <c r="D23" s="3">
        <v>664</v>
      </c>
      <c r="E23" s="3">
        <v>664</v>
      </c>
      <c r="F23" s="3">
        <v>664</v>
      </c>
      <c r="G23" s="3">
        <v>664</v>
      </c>
    </row>
    <row r="24" spans="1:7" x14ac:dyDescent="0.25">
      <c r="A24" s="1" t="s">
        <v>18</v>
      </c>
      <c r="B24" t="s">
        <v>14</v>
      </c>
      <c r="C24">
        <f t="shared" ref="C24:F24" si="9">D24</f>
        <v>14.102541567695964</v>
      </c>
      <c r="D24">
        <f t="shared" si="9"/>
        <v>14.102541567695964</v>
      </c>
      <c r="E24">
        <f t="shared" si="9"/>
        <v>14.102541567695964</v>
      </c>
      <c r="F24">
        <f t="shared" si="9"/>
        <v>14.102541567695964</v>
      </c>
      <c r="G24" s="3">
        <f>K10*17.11/G9</f>
        <v>14.102541567695964</v>
      </c>
    </row>
    <row r="25" spans="1:7" x14ac:dyDescent="0.25">
      <c r="A25" s="1" t="s">
        <v>15</v>
      </c>
      <c r="B25" t="s">
        <v>14</v>
      </c>
      <c r="C25" s="3">
        <v>700</v>
      </c>
      <c r="D25">
        <f>C25</f>
        <v>700</v>
      </c>
      <c r="E25">
        <f>($G$25-$D$25)/($G$13-$D$13)*(E$13-$D$13)+$D$25</f>
        <v>700</v>
      </c>
      <c r="F25">
        <f>($G$25-$D$25)/($G$13-$D$13)*(F$13-$D$13)+$D$25</f>
        <v>700</v>
      </c>
      <c r="G25" s="3">
        <v>700</v>
      </c>
    </row>
    <row r="26" spans="1:7" x14ac:dyDescent="0.25">
      <c r="A26" s="1" t="s">
        <v>13</v>
      </c>
      <c r="B26" t="s">
        <v>14</v>
      </c>
      <c r="C26">
        <v>20</v>
      </c>
      <c r="D26">
        <v>20</v>
      </c>
      <c r="E26">
        <v>20</v>
      </c>
      <c r="F26">
        <v>20</v>
      </c>
      <c r="G26">
        <v>20</v>
      </c>
    </row>
    <row r="27" spans="1:7" x14ac:dyDescent="0.25">
      <c r="A27" s="1" t="s">
        <v>21</v>
      </c>
      <c r="B27" t="s">
        <v>14</v>
      </c>
      <c r="C27">
        <v>100</v>
      </c>
      <c r="D27">
        <v>100</v>
      </c>
      <c r="E27">
        <v>100</v>
      </c>
      <c r="F27">
        <v>100</v>
      </c>
      <c r="G27">
        <v>100</v>
      </c>
    </row>
    <row r="28" spans="1:7" x14ac:dyDescent="0.25">
      <c r="A28" s="1" t="s">
        <v>22</v>
      </c>
      <c r="B28" t="s">
        <v>14</v>
      </c>
      <c r="C28">
        <v>180</v>
      </c>
      <c r="D28">
        <v>180</v>
      </c>
      <c r="E28">
        <v>180</v>
      </c>
      <c r="F28">
        <v>180</v>
      </c>
      <c r="G28">
        <v>180</v>
      </c>
    </row>
    <row r="29" spans="1:7" x14ac:dyDescent="0.25">
      <c r="A29" s="11" t="s">
        <v>55</v>
      </c>
      <c r="B29" t="s">
        <v>14</v>
      </c>
      <c r="C29" s="3">
        <v>10000</v>
      </c>
      <c r="D29" s="3">
        <v>6000</v>
      </c>
      <c r="E29" s="3">
        <v>4000</v>
      </c>
      <c r="F29" s="3">
        <v>3000</v>
      </c>
      <c r="G29" s="3">
        <v>3000</v>
      </c>
    </row>
    <row r="31" spans="1:7" x14ac:dyDescent="0.25">
      <c r="C31" s="14" t="s">
        <v>47</v>
      </c>
      <c r="D31" s="14"/>
      <c r="E31" s="14"/>
      <c r="F31" s="14"/>
      <c r="G31" s="14"/>
    </row>
    <row r="32" spans="1:7" x14ac:dyDescent="0.25">
      <c r="B32" s="7" t="s">
        <v>0</v>
      </c>
      <c r="C32">
        <v>2015</v>
      </c>
      <c r="D32">
        <v>2020</v>
      </c>
      <c r="E32">
        <v>2030</v>
      </c>
      <c r="F32">
        <v>2040</v>
      </c>
      <c r="G32">
        <v>2050</v>
      </c>
    </row>
    <row r="33" spans="1:10" x14ac:dyDescent="0.25">
      <c r="A33" s="9" t="s">
        <v>43</v>
      </c>
      <c r="B33" s="8" t="s">
        <v>45</v>
      </c>
      <c r="C33">
        <v>4.8</v>
      </c>
      <c r="D33">
        <v>4.8</v>
      </c>
      <c r="E33">
        <f>D33</f>
        <v>4.8</v>
      </c>
      <c r="F33">
        <f>(E33+G33)/2</f>
        <v>4.1999999999999993</v>
      </c>
      <c r="G33">
        <f>0.5*($D$33+$D$34)</f>
        <v>3.5999999999999996</v>
      </c>
    </row>
    <row r="34" spans="1:10" x14ac:dyDescent="0.25">
      <c r="A34" s="9" t="s">
        <v>44</v>
      </c>
      <c r="B34" s="8" t="s">
        <v>45</v>
      </c>
      <c r="C34">
        <v>2.4</v>
      </c>
      <c r="D34">
        <v>2.4</v>
      </c>
      <c r="E34">
        <f>D34</f>
        <v>2.4</v>
      </c>
      <c r="F34">
        <f>(E34+G34)/2</f>
        <v>3</v>
      </c>
      <c r="G34">
        <f>0.5*($D$33+$D$34)</f>
        <v>3.5999999999999996</v>
      </c>
    </row>
    <row r="35" spans="1:10" x14ac:dyDescent="0.25">
      <c r="A35" s="9" t="s">
        <v>46</v>
      </c>
      <c r="B35" s="8" t="s">
        <v>45</v>
      </c>
      <c r="C35">
        <v>3.7</v>
      </c>
      <c r="D35">
        <v>3.7</v>
      </c>
      <c r="E35">
        <f>($G35-$D35)/($G$32-$D$32)*(E$32-$D$32)+$D35</f>
        <v>3.206666666666667</v>
      </c>
      <c r="F35">
        <f>($G35-$D35)/($G$32-$D$32)*(F$32-$D$32)+$D35</f>
        <v>2.7133333333333334</v>
      </c>
      <c r="G35">
        <f>0.6*C35</f>
        <v>2.2200000000000002</v>
      </c>
    </row>
    <row r="36" spans="1:10" x14ac:dyDescent="0.25">
      <c r="A36" s="9" t="s">
        <v>15</v>
      </c>
      <c r="B36" s="8" t="s">
        <v>45</v>
      </c>
      <c r="C36">
        <v>5.0000000000000001E-3</v>
      </c>
      <c r="D36">
        <v>5.0000000000000001E-3</v>
      </c>
      <c r="E36">
        <v>5.0000000000000001E-3</v>
      </c>
      <c r="F36">
        <v>5.0000000000000001E-3</v>
      </c>
      <c r="G36">
        <v>5.0000000000000001E-3</v>
      </c>
    </row>
    <row r="37" spans="1:10" x14ac:dyDescent="0.25">
      <c r="A37" s="9" t="s">
        <v>48</v>
      </c>
      <c r="B37" s="8" t="s">
        <v>45</v>
      </c>
      <c r="C37">
        <v>0</v>
      </c>
      <c r="D37">
        <v>0</v>
      </c>
      <c r="E37">
        <f>($G37-$D37)/($G$32-$D$32)*(E$32-$D$32)+$D37</f>
        <v>0</v>
      </c>
      <c r="F37">
        <f>($G37-$D37)/($G$32-$D$32)*(F$32-$D$32)+$D37</f>
        <v>0</v>
      </c>
      <c r="G37">
        <v>0</v>
      </c>
    </row>
    <row r="38" spans="1:10" x14ac:dyDescent="0.25">
      <c r="A38" s="9" t="s">
        <v>49</v>
      </c>
      <c r="B38" s="8" t="s">
        <v>45</v>
      </c>
      <c r="C38">
        <f>6.5*0.3</f>
        <v>1.95</v>
      </c>
      <c r="D38">
        <f>C38</f>
        <v>1.95</v>
      </c>
      <c r="E38">
        <f>SUM($C$38:$C$41)*0.125</f>
        <v>0.81249999999999989</v>
      </c>
      <c r="F38">
        <f>($G38-$E38)/($G$32-$E$32)*(F$32-$E$32)+$E38</f>
        <v>0.61953124999999987</v>
      </c>
      <c r="G38">
        <f>0.075*0.875*SUM($C$38:$C$41)</f>
        <v>0.42656249999999996</v>
      </c>
    </row>
    <row r="39" spans="1:10" x14ac:dyDescent="0.25">
      <c r="A39" s="9" t="s">
        <v>50</v>
      </c>
      <c r="B39" s="8" t="s">
        <v>45</v>
      </c>
      <c r="C39">
        <f>6.5-C38-C40</f>
        <v>3.5749999999999997</v>
      </c>
      <c r="D39">
        <f t="shared" ref="D39:D41" si="10">C39</f>
        <v>3.5749999999999997</v>
      </c>
      <c r="E39">
        <f>SUM($C$38:$C$41)*0.3</f>
        <v>1.9499999999999997</v>
      </c>
      <c r="F39">
        <f t="shared" ref="F39:F40" si="11">($G39-$E39)/($G$32-$E$32)*(F$32-$E$32)+$E39</f>
        <v>1.4015624999999998</v>
      </c>
      <c r="G39">
        <f>0.15*0.875*SUM($C$38:$C$41)</f>
        <v>0.85312499999999991</v>
      </c>
      <c r="J39" s="2"/>
    </row>
    <row r="40" spans="1:10" x14ac:dyDescent="0.25">
      <c r="A40" s="9" t="s">
        <v>51</v>
      </c>
      <c r="B40" s="8" t="s">
        <v>45</v>
      </c>
      <c r="C40">
        <f>6.5*0.15</f>
        <v>0.97499999999999998</v>
      </c>
      <c r="D40">
        <f t="shared" si="10"/>
        <v>0.97499999999999998</v>
      </c>
      <c r="E40">
        <f>SUM($C$38:$C$41)-E38-E39-E41</f>
        <v>2.1124999999999998</v>
      </c>
      <c r="F40">
        <f t="shared" si="11"/>
        <v>2.1226562499999995</v>
      </c>
      <c r="G40">
        <f>0.875*SUM($C$38:$C$41)-G38-G39-G41</f>
        <v>2.1328124999999987</v>
      </c>
    </row>
    <row r="41" spans="1:10" x14ac:dyDescent="0.25">
      <c r="A41" s="9" t="s">
        <v>52</v>
      </c>
      <c r="B41" s="8" t="s">
        <v>45</v>
      </c>
      <c r="C41">
        <v>0</v>
      </c>
      <c r="D41">
        <f t="shared" si="10"/>
        <v>0</v>
      </c>
      <c r="E41">
        <f>SUM($C$38:$C$41)*0.25</f>
        <v>1.6249999999999998</v>
      </c>
      <c r="F41">
        <f>($G41-$E41)/($G$32-$E$32)*(F$32-$E$32)+$E41</f>
        <v>1.9499999999999997</v>
      </c>
      <c r="G41">
        <f>0.4*0.875*SUM($C$38:$C$41)</f>
        <v>2.2749999999999999</v>
      </c>
    </row>
    <row r="44" spans="1:10" x14ac:dyDescent="0.25">
      <c r="C44" s="10"/>
    </row>
  </sheetData>
  <mergeCells count="14">
    <mergeCell ref="C31:G31"/>
    <mergeCell ref="B12:G12"/>
    <mergeCell ref="A14:A15"/>
    <mergeCell ref="A1:G2"/>
    <mergeCell ref="K1:O1"/>
    <mergeCell ref="K2:K3"/>
    <mergeCell ref="L2:O2"/>
    <mergeCell ref="A3:A4"/>
    <mergeCell ref="B3:G3"/>
    <mergeCell ref="A16:A17"/>
    <mergeCell ref="A5:A6"/>
    <mergeCell ref="A7:A8"/>
    <mergeCell ref="A9:A10"/>
    <mergeCell ref="A12:A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6"/>
  <sheetViews>
    <sheetView workbookViewId="0">
      <selection activeCell="N16" sqref="N16"/>
    </sheetView>
  </sheetViews>
  <sheetFormatPr baseColWidth="10" defaultRowHeight="15" x14ac:dyDescent="0.25"/>
  <sheetData>
    <row r="1" spans="1:1" x14ac:dyDescent="0.25">
      <c r="A1" t="s">
        <v>34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s="6" t="s">
        <v>37</v>
      </c>
    </row>
    <row r="5" spans="1:1" x14ac:dyDescent="0.25">
      <c r="A5" t="s">
        <v>53</v>
      </c>
    </row>
    <row r="6" spans="1:1" x14ac:dyDescent="0.25">
      <c r="A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France</vt:lpstr>
      <vt:lpstr>Germany</vt:lpstr>
      <vt:lpstr>Italy</vt:lpstr>
      <vt:lpstr>Great Britain</vt:lpstr>
      <vt:lpstr>Spain</vt:lpstr>
      <vt:lpstr>Belgium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2023-04-12T12:10:26Z</dcterms:created>
  <dcterms:modified xsi:type="dcterms:W3CDTF">2023-04-30T16:28:42Z</dcterms:modified>
</cp:coreProperties>
</file>