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rading-Test\Release\"/>
    </mc:Choice>
  </mc:AlternateContent>
  <xr:revisionPtr revIDLastSave="0" documentId="13_ncr:1_{E407949D-EFF6-4C0B-BFF1-00E46B107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rrentMonth" sheetId="1" r:id="rId1"/>
    <sheet name="AugustAnalysis" sheetId="2" r:id="rId2"/>
    <sheet name="Pivot" sheetId="3" state="hidden" r:id="rId3"/>
    <sheet name="Trades" sheetId="4" r:id="rId4"/>
    <sheet name="Tools" sheetId="5" r:id="rId5"/>
    <sheet name="Statistics" sheetId="6" r:id="rId6"/>
  </sheets>
  <externalReferences>
    <externalReference r:id="rId7"/>
  </externalReferences>
  <definedNames>
    <definedName name="Crypto">#REF!</definedName>
    <definedName name="Dynamicrange">OFFSET(#REF!, 0, 0, COUNTA([1]Sheet1!$A:$A), COUNTA(#REF!))</definedName>
    <definedName name="Dynamicrisk">OFFSET(#REF!,0,0,COUNTA(#REF!),1)</definedName>
    <definedName name="FX">#REF!</definedName>
    <definedName name="NonBlankSettings">OFFSET(#REF!, 0, 0, COUNTA(#REF!))</definedName>
    <definedName name="Others">#REF!</definedName>
    <definedName name="Stocks">#REF!</definedName>
  </definedNames>
  <calcPr calcId="191029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6" l="1"/>
  <c r="O49" i="6"/>
  <c r="N49" i="6"/>
  <c r="M49" i="6"/>
  <c r="L49" i="6"/>
  <c r="K49" i="6"/>
  <c r="J49" i="6"/>
  <c r="I49" i="6"/>
  <c r="H49" i="6"/>
  <c r="G49" i="6"/>
  <c r="F49" i="6"/>
  <c r="E49" i="6"/>
  <c r="D49" i="6" s="1"/>
  <c r="P48" i="6"/>
  <c r="P50" i="6" s="1"/>
  <c r="O48" i="6"/>
  <c r="O50" i="6" s="1"/>
  <c r="N48" i="6"/>
  <c r="N50" i="6" s="1"/>
  <c r="M48" i="6"/>
  <c r="M50" i="6" s="1"/>
  <c r="L48" i="6"/>
  <c r="L50" i="6" s="1"/>
  <c r="K48" i="6"/>
  <c r="K50" i="6" s="1"/>
  <c r="J48" i="6"/>
  <c r="J50" i="6" s="1"/>
  <c r="I48" i="6"/>
  <c r="I50" i="6" s="1"/>
  <c r="H48" i="6"/>
  <c r="H50" i="6" s="1"/>
  <c r="G48" i="6"/>
  <c r="G50" i="6" s="1"/>
  <c r="F48" i="6"/>
  <c r="F50" i="6" s="1"/>
  <c r="E48" i="6"/>
  <c r="E50" i="6" s="1"/>
  <c r="E52" i="6" s="1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K34" i="6"/>
  <c r="G34" i="6"/>
  <c r="P33" i="6"/>
  <c r="O33" i="6"/>
  <c r="O34" i="6" s="1"/>
  <c r="N33" i="6"/>
  <c r="M33" i="6"/>
  <c r="L33" i="6"/>
  <c r="K33" i="6"/>
  <c r="J33" i="6"/>
  <c r="I33" i="6"/>
  <c r="H33" i="6"/>
  <c r="G33" i="6"/>
  <c r="F33" i="6"/>
  <c r="E33" i="6"/>
  <c r="D33" i="6"/>
  <c r="P32" i="6"/>
  <c r="P34" i="6" s="1"/>
  <c r="O32" i="6"/>
  <c r="N32" i="6"/>
  <c r="N34" i="6" s="1"/>
  <c r="M32" i="6"/>
  <c r="M34" i="6" s="1"/>
  <c r="L32" i="6"/>
  <c r="L34" i="6" s="1"/>
  <c r="K32" i="6"/>
  <c r="J32" i="6"/>
  <c r="J34" i="6" s="1"/>
  <c r="I32" i="6"/>
  <c r="I34" i="6" s="1"/>
  <c r="H32" i="6"/>
  <c r="G32" i="6"/>
  <c r="F32" i="6"/>
  <c r="F34" i="6" s="1"/>
  <c r="E32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M17" i="6"/>
  <c r="I17" i="6"/>
  <c r="E17" i="6"/>
  <c r="E19" i="6" s="1"/>
  <c r="P16" i="6"/>
  <c r="O16" i="6"/>
  <c r="N16" i="6"/>
  <c r="M16" i="6"/>
  <c r="L16" i="6"/>
  <c r="K16" i="6"/>
  <c r="J16" i="6"/>
  <c r="I16" i="6"/>
  <c r="H16" i="6"/>
  <c r="G16" i="6"/>
  <c r="F16" i="6"/>
  <c r="F17" i="6" s="1"/>
  <c r="F19" i="6" s="1"/>
  <c r="E16" i="6"/>
  <c r="P15" i="6"/>
  <c r="P17" i="6" s="1"/>
  <c r="O15" i="6"/>
  <c r="O17" i="6" s="1"/>
  <c r="N15" i="6"/>
  <c r="N17" i="6" s="1"/>
  <c r="M15" i="6"/>
  <c r="L15" i="6"/>
  <c r="L17" i="6" s="1"/>
  <c r="K15" i="6"/>
  <c r="K17" i="6" s="1"/>
  <c r="J15" i="6"/>
  <c r="I15" i="6"/>
  <c r="H15" i="6"/>
  <c r="H17" i="6" s="1"/>
  <c r="G15" i="6"/>
  <c r="F15" i="6"/>
  <c r="E15" i="6"/>
  <c r="P7" i="6"/>
  <c r="O7" i="6"/>
  <c r="N7" i="6"/>
  <c r="M7" i="6"/>
  <c r="L7" i="6"/>
  <c r="K7" i="6"/>
  <c r="J7" i="6"/>
  <c r="I7" i="6"/>
  <c r="H7" i="6"/>
  <c r="G7" i="6"/>
  <c r="F7" i="6"/>
  <c r="E7" i="6"/>
  <c r="D7" i="6"/>
  <c r="T27" i="5"/>
  <c r="E16" i="5"/>
  <c r="E14" i="5"/>
  <c r="U11" i="5"/>
  <c r="V10" i="5"/>
  <c r="V9" i="5"/>
  <c r="V8" i="5"/>
  <c r="P8" i="5"/>
  <c r="O8" i="5"/>
  <c r="N8" i="5"/>
  <c r="M8" i="5"/>
  <c r="Q8" i="5" s="1"/>
  <c r="L8" i="5"/>
  <c r="K8" i="5"/>
  <c r="J8" i="5"/>
  <c r="V7" i="5"/>
  <c r="V6" i="5"/>
  <c r="V11" i="5" s="1"/>
  <c r="T12" i="5" s="1"/>
  <c r="AC1087" i="4"/>
  <c r="AC1086" i="4"/>
  <c r="AC1085" i="4"/>
  <c r="AC1084" i="4"/>
  <c r="AC1083" i="4"/>
  <c r="AC1082" i="4"/>
  <c r="AC1081" i="4"/>
  <c r="AC1080" i="4"/>
  <c r="AC1079" i="4"/>
  <c r="AC1078" i="4"/>
  <c r="AC1077" i="4"/>
  <c r="AC1076" i="4"/>
  <c r="AC1075" i="4"/>
  <c r="AC1074" i="4"/>
  <c r="AC1073" i="4"/>
  <c r="AC1072" i="4"/>
  <c r="AC1071" i="4"/>
  <c r="AC1070" i="4"/>
  <c r="AC1069" i="4"/>
  <c r="AC1068" i="4"/>
  <c r="AC1067" i="4"/>
  <c r="AC1066" i="4"/>
  <c r="AC1065" i="4"/>
  <c r="AC1064" i="4"/>
  <c r="AC1063" i="4"/>
  <c r="AC1062" i="4"/>
  <c r="AC1061" i="4"/>
  <c r="AC1060" i="4"/>
  <c r="AC1059" i="4"/>
  <c r="AC1058" i="4"/>
  <c r="AC1057" i="4"/>
  <c r="AC1056" i="4"/>
  <c r="AC1055" i="4"/>
  <c r="AC1054" i="4"/>
  <c r="AC1053" i="4"/>
  <c r="AC1052" i="4"/>
  <c r="AC1051" i="4"/>
  <c r="AC1050" i="4"/>
  <c r="AC1049" i="4"/>
  <c r="AC1048" i="4"/>
  <c r="AC1047" i="4"/>
  <c r="AC1046" i="4"/>
  <c r="AC1045" i="4"/>
  <c r="AC1044" i="4"/>
  <c r="AC1043" i="4"/>
  <c r="AC1042" i="4"/>
  <c r="AC1041" i="4"/>
  <c r="AC1040" i="4"/>
  <c r="AC1039" i="4"/>
  <c r="AC1038" i="4"/>
  <c r="AC1037" i="4"/>
  <c r="AC1036" i="4"/>
  <c r="AC1035" i="4"/>
  <c r="AC1034" i="4"/>
  <c r="AC1033" i="4"/>
  <c r="AC1032" i="4"/>
  <c r="AC1031" i="4"/>
  <c r="AC1030" i="4"/>
  <c r="AC1029" i="4"/>
  <c r="AC1028" i="4"/>
  <c r="AC1027" i="4"/>
  <c r="AC1026" i="4"/>
  <c r="AC1025" i="4"/>
  <c r="AC1024" i="4"/>
  <c r="AC1023" i="4"/>
  <c r="AC1022" i="4"/>
  <c r="AC1021" i="4"/>
  <c r="AC1020" i="4"/>
  <c r="AC1019" i="4"/>
  <c r="AC1018" i="4"/>
  <c r="AC1017" i="4"/>
  <c r="AC1016" i="4"/>
  <c r="AC1015" i="4"/>
  <c r="AC1014" i="4"/>
  <c r="AC1013" i="4"/>
  <c r="AC1012" i="4"/>
  <c r="AC1011" i="4"/>
  <c r="AC1010" i="4"/>
  <c r="AC1009" i="4"/>
  <c r="AC1008" i="4"/>
  <c r="AC1007" i="4"/>
  <c r="AC1006" i="4"/>
  <c r="X1006" i="4"/>
  <c r="W1006" i="4"/>
  <c r="V1006" i="4"/>
  <c r="P1006" i="4" s="1"/>
  <c r="U1006" i="4"/>
  <c r="T1006" i="4"/>
  <c r="S1006" i="4"/>
  <c r="L1006" i="4"/>
  <c r="K1006" i="4"/>
  <c r="AC1005" i="4"/>
  <c r="X1005" i="4"/>
  <c r="W1005" i="4"/>
  <c r="U1005" i="4"/>
  <c r="V1005" i="4" s="1"/>
  <c r="P1005" i="4" s="1"/>
  <c r="T1005" i="4"/>
  <c r="S1005" i="4"/>
  <c r="L1005" i="4"/>
  <c r="K1005" i="4"/>
  <c r="AC1004" i="4"/>
  <c r="X1004" i="4"/>
  <c r="W1004" i="4"/>
  <c r="V1004" i="4"/>
  <c r="U1004" i="4"/>
  <c r="T1004" i="4"/>
  <c r="S1004" i="4"/>
  <c r="L1004" i="4"/>
  <c r="K1004" i="4"/>
  <c r="AC1003" i="4"/>
  <c r="X1003" i="4"/>
  <c r="W1003" i="4"/>
  <c r="U1003" i="4"/>
  <c r="V1003" i="4" s="1"/>
  <c r="P1003" i="4" s="1"/>
  <c r="T1003" i="4"/>
  <c r="S1003" i="4"/>
  <c r="L1003" i="4"/>
  <c r="K1003" i="4"/>
  <c r="AC1002" i="4"/>
  <c r="X1002" i="4"/>
  <c r="W1002" i="4"/>
  <c r="U1002" i="4"/>
  <c r="V1002" i="4" s="1"/>
  <c r="T1002" i="4"/>
  <c r="S1002" i="4"/>
  <c r="L1002" i="4"/>
  <c r="K1002" i="4"/>
  <c r="AC1001" i="4"/>
  <c r="X1001" i="4"/>
  <c r="W1001" i="4"/>
  <c r="V1001" i="4"/>
  <c r="U1001" i="4"/>
  <c r="T1001" i="4"/>
  <c r="S1001" i="4"/>
  <c r="L1001" i="4"/>
  <c r="K1001" i="4"/>
  <c r="AC1000" i="4"/>
  <c r="X1000" i="4"/>
  <c r="W1000" i="4"/>
  <c r="V1000" i="4"/>
  <c r="U1000" i="4"/>
  <c r="T1000" i="4"/>
  <c r="S1000" i="4"/>
  <c r="L1000" i="4"/>
  <c r="K1000" i="4"/>
  <c r="AC999" i="4"/>
  <c r="X999" i="4"/>
  <c r="W999" i="4"/>
  <c r="U999" i="4"/>
  <c r="V999" i="4" s="1"/>
  <c r="P999" i="4" s="1"/>
  <c r="T999" i="4"/>
  <c r="S999" i="4"/>
  <c r="L999" i="4"/>
  <c r="K999" i="4"/>
  <c r="AC998" i="4"/>
  <c r="X998" i="4"/>
  <c r="W998" i="4"/>
  <c r="V998" i="4"/>
  <c r="P998" i="4" s="1"/>
  <c r="U998" i="4"/>
  <c r="T998" i="4"/>
  <c r="S998" i="4"/>
  <c r="L998" i="4"/>
  <c r="K998" i="4"/>
  <c r="AC997" i="4"/>
  <c r="X997" i="4"/>
  <c r="W997" i="4"/>
  <c r="U997" i="4"/>
  <c r="V997" i="4" s="1"/>
  <c r="P997" i="4" s="1"/>
  <c r="T997" i="4"/>
  <c r="S997" i="4"/>
  <c r="L997" i="4"/>
  <c r="K997" i="4"/>
  <c r="AC996" i="4"/>
  <c r="X996" i="4"/>
  <c r="W996" i="4"/>
  <c r="U996" i="4"/>
  <c r="V996" i="4" s="1"/>
  <c r="P996" i="4" s="1"/>
  <c r="T996" i="4"/>
  <c r="S996" i="4"/>
  <c r="L996" i="4"/>
  <c r="K996" i="4"/>
  <c r="AC995" i="4"/>
  <c r="X995" i="4"/>
  <c r="W995" i="4"/>
  <c r="U995" i="4"/>
  <c r="V995" i="4" s="1"/>
  <c r="T995" i="4"/>
  <c r="S995" i="4"/>
  <c r="L995" i="4"/>
  <c r="K995" i="4"/>
  <c r="AC994" i="4"/>
  <c r="X994" i="4"/>
  <c r="W994" i="4"/>
  <c r="U994" i="4"/>
  <c r="V994" i="4" s="1"/>
  <c r="P994" i="4" s="1"/>
  <c r="T994" i="4"/>
  <c r="S994" i="4"/>
  <c r="L994" i="4"/>
  <c r="K994" i="4"/>
  <c r="AC993" i="4"/>
  <c r="X993" i="4"/>
  <c r="W993" i="4"/>
  <c r="U993" i="4"/>
  <c r="V993" i="4" s="1"/>
  <c r="T993" i="4"/>
  <c r="S993" i="4"/>
  <c r="L993" i="4"/>
  <c r="K993" i="4"/>
  <c r="AC992" i="4"/>
  <c r="X992" i="4"/>
  <c r="W992" i="4"/>
  <c r="U992" i="4"/>
  <c r="V992" i="4" s="1"/>
  <c r="P992" i="4" s="1"/>
  <c r="T992" i="4"/>
  <c r="S992" i="4"/>
  <c r="L992" i="4"/>
  <c r="K992" i="4"/>
  <c r="AC991" i="4"/>
  <c r="X991" i="4"/>
  <c r="W991" i="4"/>
  <c r="U991" i="4"/>
  <c r="V991" i="4" s="1"/>
  <c r="T991" i="4"/>
  <c r="S991" i="4"/>
  <c r="L991" i="4"/>
  <c r="K991" i="4"/>
  <c r="AC990" i="4"/>
  <c r="X990" i="4"/>
  <c r="W990" i="4"/>
  <c r="V990" i="4"/>
  <c r="P990" i="4" s="1"/>
  <c r="U990" i="4"/>
  <c r="T990" i="4"/>
  <c r="S990" i="4"/>
  <c r="L990" i="4"/>
  <c r="K990" i="4"/>
  <c r="AC989" i="4"/>
  <c r="X989" i="4"/>
  <c r="W989" i="4"/>
  <c r="U989" i="4"/>
  <c r="V989" i="4" s="1"/>
  <c r="T989" i="4"/>
  <c r="S989" i="4"/>
  <c r="L989" i="4"/>
  <c r="K989" i="4"/>
  <c r="AC988" i="4"/>
  <c r="X988" i="4"/>
  <c r="W988" i="4"/>
  <c r="U988" i="4"/>
  <c r="V988" i="4" s="1"/>
  <c r="T988" i="4"/>
  <c r="S988" i="4"/>
  <c r="L988" i="4"/>
  <c r="K988" i="4"/>
  <c r="AC987" i="4"/>
  <c r="X987" i="4"/>
  <c r="W987" i="4"/>
  <c r="U987" i="4"/>
  <c r="V987" i="4" s="1"/>
  <c r="T987" i="4"/>
  <c r="S987" i="4"/>
  <c r="L987" i="4"/>
  <c r="K987" i="4"/>
  <c r="AC986" i="4"/>
  <c r="X986" i="4"/>
  <c r="W986" i="4"/>
  <c r="U986" i="4"/>
  <c r="V986" i="4" s="1"/>
  <c r="T986" i="4"/>
  <c r="S986" i="4"/>
  <c r="L986" i="4"/>
  <c r="K986" i="4"/>
  <c r="AC985" i="4"/>
  <c r="X985" i="4"/>
  <c r="W985" i="4"/>
  <c r="U985" i="4"/>
  <c r="V985" i="4" s="1"/>
  <c r="T985" i="4"/>
  <c r="S985" i="4"/>
  <c r="L985" i="4"/>
  <c r="K985" i="4"/>
  <c r="AC984" i="4"/>
  <c r="X984" i="4"/>
  <c r="W984" i="4"/>
  <c r="U984" i="4"/>
  <c r="V984" i="4" s="1"/>
  <c r="T984" i="4"/>
  <c r="S984" i="4"/>
  <c r="L984" i="4"/>
  <c r="K984" i="4"/>
  <c r="AC983" i="4"/>
  <c r="X983" i="4"/>
  <c r="W983" i="4"/>
  <c r="U983" i="4"/>
  <c r="V983" i="4" s="1"/>
  <c r="T983" i="4"/>
  <c r="S983" i="4"/>
  <c r="L983" i="4"/>
  <c r="K983" i="4"/>
  <c r="AC982" i="4"/>
  <c r="X982" i="4"/>
  <c r="W982" i="4"/>
  <c r="V982" i="4"/>
  <c r="U982" i="4"/>
  <c r="T982" i="4"/>
  <c r="S982" i="4"/>
  <c r="L982" i="4"/>
  <c r="K982" i="4"/>
  <c r="AC981" i="4"/>
  <c r="X981" i="4"/>
  <c r="W981" i="4"/>
  <c r="U981" i="4"/>
  <c r="V981" i="4" s="1"/>
  <c r="T981" i="4"/>
  <c r="S981" i="4"/>
  <c r="L981" i="4"/>
  <c r="K981" i="4"/>
  <c r="AC980" i="4"/>
  <c r="X980" i="4"/>
  <c r="W980" i="4"/>
  <c r="U980" i="4"/>
  <c r="V980" i="4" s="1"/>
  <c r="T980" i="4"/>
  <c r="S980" i="4"/>
  <c r="L980" i="4"/>
  <c r="K980" i="4"/>
  <c r="AC979" i="4"/>
  <c r="X979" i="4"/>
  <c r="W979" i="4"/>
  <c r="U979" i="4"/>
  <c r="V979" i="4" s="1"/>
  <c r="T979" i="4"/>
  <c r="S979" i="4"/>
  <c r="L979" i="4"/>
  <c r="K979" i="4"/>
  <c r="AC978" i="4"/>
  <c r="X978" i="4"/>
  <c r="W978" i="4"/>
  <c r="U978" i="4"/>
  <c r="V978" i="4" s="1"/>
  <c r="T978" i="4"/>
  <c r="S978" i="4"/>
  <c r="L978" i="4"/>
  <c r="K978" i="4"/>
  <c r="AC977" i="4"/>
  <c r="X977" i="4"/>
  <c r="W977" i="4"/>
  <c r="U977" i="4"/>
  <c r="V977" i="4" s="1"/>
  <c r="T977" i="4"/>
  <c r="S977" i="4"/>
  <c r="L977" i="4"/>
  <c r="K977" i="4"/>
  <c r="AC976" i="4"/>
  <c r="X976" i="4"/>
  <c r="W976" i="4"/>
  <c r="U976" i="4"/>
  <c r="V976" i="4" s="1"/>
  <c r="T976" i="4"/>
  <c r="S976" i="4"/>
  <c r="L976" i="4"/>
  <c r="K976" i="4"/>
  <c r="AC975" i="4"/>
  <c r="X975" i="4"/>
  <c r="W975" i="4"/>
  <c r="U975" i="4"/>
  <c r="V975" i="4" s="1"/>
  <c r="T975" i="4"/>
  <c r="S975" i="4"/>
  <c r="L975" i="4"/>
  <c r="K975" i="4"/>
  <c r="AC974" i="4"/>
  <c r="X974" i="4"/>
  <c r="W974" i="4"/>
  <c r="U974" i="4"/>
  <c r="V974" i="4" s="1"/>
  <c r="T974" i="4"/>
  <c r="S974" i="4"/>
  <c r="L974" i="4"/>
  <c r="K974" i="4"/>
  <c r="AC973" i="4"/>
  <c r="X973" i="4"/>
  <c r="W973" i="4"/>
  <c r="U973" i="4"/>
  <c r="V973" i="4" s="1"/>
  <c r="T973" i="4"/>
  <c r="S973" i="4"/>
  <c r="L973" i="4"/>
  <c r="K973" i="4"/>
  <c r="AC972" i="4"/>
  <c r="X972" i="4"/>
  <c r="W972" i="4"/>
  <c r="U972" i="4"/>
  <c r="V972" i="4" s="1"/>
  <c r="T972" i="4"/>
  <c r="S972" i="4"/>
  <c r="L972" i="4"/>
  <c r="K972" i="4"/>
  <c r="AC971" i="4"/>
  <c r="X971" i="4"/>
  <c r="W971" i="4"/>
  <c r="U971" i="4"/>
  <c r="V971" i="4" s="1"/>
  <c r="T971" i="4"/>
  <c r="S971" i="4"/>
  <c r="L971" i="4"/>
  <c r="K971" i="4"/>
  <c r="AC970" i="4"/>
  <c r="X970" i="4"/>
  <c r="W970" i="4"/>
  <c r="U970" i="4"/>
  <c r="V970" i="4" s="1"/>
  <c r="T970" i="4"/>
  <c r="S970" i="4"/>
  <c r="L970" i="4"/>
  <c r="K970" i="4"/>
  <c r="AC969" i="4"/>
  <c r="X969" i="4"/>
  <c r="W969" i="4"/>
  <c r="U969" i="4"/>
  <c r="V969" i="4" s="1"/>
  <c r="T969" i="4"/>
  <c r="S969" i="4"/>
  <c r="L969" i="4"/>
  <c r="K969" i="4"/>
  <c r="AC968" i="4"/>
  <c r="X968" i="4"/>
  <c r="W968" i="4"/>
  <c r="U968" i="4"/>
  <c r="V968" i="4" s="1"/>
  <c r="T968" i="4"/>
  <c r="S968" i="4"/>
  <c r="L968" i="4"/>
  <c r="K968" i="4"/>
  <c r="AC967" i="4"/>
  <c r="X967" i="4"/>
  <c r="W967" i="4"/>
  <c r="U967" i="4"/>
  <c r="V967" i="4" s="1"/>
  <c r="T967" i="4"/>
  <c r="S967" i="4"/>
  <c r="L967" i="4"/>
  <c r="K967" i="4"/>
  <c r="AC966" i="4"/>
  <c r="X966" i="4"/>
  <c r="W966" i="4"/>
  <c r="U966" i="4"/>
  <c r="V966" i="4" s="1"/>
  <c r="T966" i="4"/>
  <c r="S966" i="4"/>
  <c r="L966" i="4"/>
  <c r="K966" i="4"/>
  <c r="AC965" i="4"/>
  <c r="X965" i="4"/>
  <c r="W965" i="4"/>
  <c r="U965" i="4"/>
  <c r="V965" i="4" s="1"/>
  <c r="T965" i="4"/>
  <c r="S965" i="4"/>
  <c r="L965" i="4"/>
  <c r="K965" i="4"/>
  <c r="AC964" i="4"/>
  <c r="X964" i="4"/>
  <c r="W964" i="4"/>
  <c r="U964" i="4"/>
  <c r="V964" i="4" s="1"/>
  <c r="T964" i="4"/>
  <c r="S964" i="4"/>
  <c r="L964" i="4"/>
  <c r="K964" i="4"/>
  <c r="AC963" i="4"/>
  <c r="X963" i="4"/>
  <c r="W963" i="4"/>
  <c r="U963" i="4"/>
  <c r="V963" i="4" s="1"/>
  <c r="T963" i="4"/>
  <c r="S963" i="4"/>
  <c r="L963" i="4"/>
  <c r="K963" i="4"/>
  <c r="AC962" i="4"/>
  <c r="X962" i="4"/>
  <c r="W962" i="4"/>
  <c r="U962" i="4"/>
  <c r="V962" i="4" s="1"/>
  <c r="T962" i="4"/>
  <c r="S962" i="4"/>
  <c r="L962" i="4"/>
  <c r="K962" i="4"/>
  <c r="AC961" i="4"/>
  <c r="X961" i="4"/>
  <c r="W961" i="4"/>
  <c r="U961" i="4"/>
  <c r="V961" i="4" s="1"/>
  <c r="T961" i="4"/>
  <c r="S961" i="4"/>
  <c r="L961" i="4"/>
  <c r="K961" i="4"/>
  <c r="AC960" i="4"/>
  <c r="X960" i="4"/>
  <c r="W960" i="4"/>
  <c r="U960" i="4"/>
  <c r="V960" i="4" s="1"/>
  <c r="T960" i="4"/>
  <c r="S960" i="4"/>
  <c r="L960" i="4"/>
  <c r="K960" i="4"/>
  <c r="AC959" i="4"/>
  <c r="X959" i="4"/>
  <c r="W959" i="4"/>
  <c r="U959" i="4"/>
  <c r="V959" i="4" s="1"/>
  <c r="T959" i="4"/>
  <c r="S959" i="4"/>
  <c r="L959" i="4"/>
  <c r="K959" i="4"/>
  <c r="AC958" i="4"/>
  <c r="X958" i="4"/>
  <c r="W958" i="4"/>
  <c r="U958" i="4"/>
  <c r="V958" i="4" s="1"/>
  <c r="T958" i="4"/>
  <c r="S958" i="4"/>
  <c r="L958" i="4"/>
  <c r="K958" i="4"/>
  <c r="AC957" i="4"/>
  <c r="X957" i="4"/>
  <c r="W957" i="4"/>
  <c r="U957" i="4"/>
  <c r="V957" i="4" s="1"/>
  <c r="T957" i="4"/>
  <c r="S957" i="4"/>
  <c r="L957" i="4"/>
  <c r="K957" i="4"/>
  <c r="AC956" i="4"/>
  <c r="X956" i="4"/>
  <c r="W956" i="4"/>
  <c r="U956" i="4"/>
  <c r="V956" i="4" s="1"/>
  <c r="T956" i="4"/>
  <c r="S956" i="4"/>
  <c r="L956" i="4"/>
  <c r="K956" i="4"/>
  <c r="AC955" i="4"/>
  <c r="X955" i="4"/>
  <c r="W955" i="4"/>
  <c r="U955" i="4"/>
  <c r="V955" i="4" s="1"/>
  <c r="T955" i="4"/>
  <c r="S955" i="4"/>
  <c r="L955" i="4"/>
  <c r="K955" i="4"/>
  <c r="AC954" i="4"/>
  <c r="X954" i="4"/>
  <c r="W954" i="4"/>
  <c r="U954" i="4"/>
  <c r="V954" i="4" s="1"/>
  <c r="T954" i="4"/>
  <c r="S954" i="4"/>
  <c r="L954" i="4"/>
  <c r="K954" i="4"/>
  <c r="AC953" i="4"/>
  <c r="X953" i="4"/>
  <c r="W953" i="4"/>
  <c r="U953" i="4"/>
  <c r="V953" i="4" s="1"/>
  <c r="T953" i="4"/>
  <c r="S953" i="4"/>
  <c r="L953" i="4"/>
  <c r="K953" i="4"/>
  <c r="AC952" i="4"/>
  <c r="X952" i="4"/>
  <c r="W952" i="4"/>
  <c r="U952" i="4"/>
  <c r="V952" i="4" s="1"/>
  <c r="T952" i="4"/>
  <c r="S952" i="4"/>
  <c r="L952" i="4"/>
  <c r="K952" i="4"/>
  <c r="AC951" i="4"/>
  <c r="X951" i="4"/>
  <c r="W951" i="4"/>
  <c r="U951" i="4"/>
  <c r="V951" i="4" s="1"/>
  <c r="T951" i="4"/>
  <c r="S951" i="4"/>
  <c r="L951" i="4"/>
  <c r="K951" i="4"/>
  <c r="AC950" i="4"/>
  <c r="X950" i="4"/>
  <c r="W950" i="4"/>
  <c r="U950" i="4"/>
  <c r="V950" i="4" s="1"/>
  <c r="T950" i="4"/>
  <c r="S950" i="4"/>
  <c r="L950" i="4"/>
  <c r="K950" i="4"/>
  <c r="AC949" i="4"/>
  <c r="X949" i="4"/>
  <c r="W949" i="4"/>
  <c r="U949" i="4"/>
  <c r="V949" i="4" s="1"/>
  <c r="T949" i="4"/>
  <c r="S949" i="4"/>
  <c r="L949" i="4"/>
  <c r="K949" i="4"/>
  <c r="AC948" i="4"/>
  <c r="X948" i="4"/>
  <c r="W948" i="4"/>
  <c r="U948" i="4"/>
  <c r="V948" i="4" s="1"/>
  <c r="T948" i="4"/>
  <c r="S948" i="4"/>
  <c r="L948" i="4"/>
  <c r="K948" i="4"/>
  <c r="AC947" i="4"/>
  <c r="X947" i="4"/>
  <c r="W947" i="4"/>
  <c r="U947" i="4"/>
  <c r="V947" i="4" s="1"/>
  <c r="T947" i="4"/>
  <c r="S947" i="4"/>
  <c r="L947" i="4"/>
  <c r="K947" i="4"/>
  <c r="AC946" i="4"/>
  <c r="X946" i="4"/>
  <c r="W946" i="4"/>
  <c r="U946" i="4"/>
  <c r="V946" i="4" s="1"/>
  <c r="T946" i="4"/>
  <c r="S946" i="4"/>
  <c r="L946" i="4"/>
  <c r="K946" i="4"/>
  <c r="AC945" i="4"/>
  <c r="X945" i="4"/>
  <c r="W945" i="4"/>
  <c r="U945" i="4"/>
  <c r="V945" i="4" s="1"/>
  <c r="T945" i="4"/>
  <c r="S945" i="4"/>
  <c r="L945" i="4"/>
  <c r="K945" i="4"/>
  <c r="AC944" i="4"/>
  <c r="X944" i="4"/>
  <c r="W944" i="4"/>
  <c r="U944" i="4"/>
  <c r="V944" i="4" s="1"/>
  <c r="T944" i="4"/>
  <c r="S944" i="4"/>
  <c r="L944" i="4"/>
  <c r="K944" i="4"/>
  <c r="AC943" i="4"/>
  <c r="X943" i="4"/>
  <c r="W943" i="4"/>
  <c r="U943" i="4"/>
  <c r="V943" i="4" s="1"/>
  <c r="T943" i="4"/>
  <c r="S943" i="4"/>
  <c r="L943" i="4"/>
  <c r="K943" i="4"/>
  <c r="AC942" i="4"/>
  <c r="X942" i="4"/>
  <c r="W942" i="4"/>
  <c r="U942" i="4"/>
  <c r="V942" i="4" s="1"/>
  <c r="T942" i="4"/>
  <c r="S942" i="4"/>
  <c r="L942" i="4"/>
  <c r="K942" i="4"/>
  <c r="AC941" i="4"/>
  <c r="X941" i="4"/>
  <c r="W941" i="4"/>
  <c r="U941" i="4"/>
  <c r="V941" i="4" s="1"/>
  <c r="T941" i="4"/>
  <c r="S941" i="4"/>
  <c r="L941" i="4"/>
  <c r="K941" i="4"/>
  <c r="AC940" i="4"/>
  <c r="X940" i="4"/>
  <c r="W940" i="4"/>
  <c r="U940" i="4"/>
  <c r="V940" i="4" s="1"/>
  <c r="T940" i="4"/>
  <c r="S940" i="4"/>
  <c r="L940" i="4"/>
  <c r="K940" i="4"/>
  <c r="AC939" i="4"/>
  <c r="X939" i="4"/>
  <c r="W939" i="4"/>
  <c r="U939" i="4"/>
  <c r="V939" i="4" s="1"/>
  <c r="T939" i="4"/>
  <c r="S939" i="4"/>
  <c r="L939" i="4"/>
  <c r="K939" i="4"/>
  <c r="AC938" i="4"/>
  <c r="X938" i="4"/>
  <c r="W938" i="4"/>
  <c r="U938" i="4"/>
  <c r="V938" i="4" s="1"/>
  <c r="T938" i="4"/>
  <c r="S938" i="4"/>
  <c r="L938" i="4"/>
  <c r="K938" i="4"/>
  <c r="AC937" i="4"/>
  <c r="X937" i="4"/>
  <c r="W937" i="4"/>
  <c r="U937" i="4"/>
  <c r="V937" i="4" s="1"/>
  <c r="T937" i="4"/>
  <c r="S937" i="4"/>
  <c r="L937" i="4"/>
  <c r="K937" i="4"/>
  <c r="AC936" i="4"/>
  <c r="X936" i="4"/>
  <c r="W936" i="4"/>
  <c r="U936" i="4"/>
  <c r="V936" i="4" s="1"/>
  <c r="T936" i="4"/>
  <c r="S936" i="4"/>
  <c r="L936" i="4"/>
  <c r="K936" i="4"/>
  <c r="AC935" i="4"/>
  <c r="X935" i="4"/>
  <c r="W935" i="4"/>
  <c r="U935" i="4"/>
  <c r="V935" i="4" s="1"/>
  <c r="T935" i="4"/>
  <c r="S935" i="4"/>
  <c r="L935" i="4"/>
  <c r="K935" i="4"/>
  <c r="AC934" i="4"/>
  <c r="X934" i="4"/>
  <c r="W934" i="4"/>
  <c r="V934" i="4"/>
  <c r="U934" i="4"/>
  <c r="T934" i="4"/>
  <c r="S934" i="4"/>
  <c r="L934" i="4"/>
  <c r="K934" i="4"/>
  <c r="AC933" i="4"/>
  <c r="X933" i="4"/>
  <c r="W933" i="4"/>
  <c r="U933" i="4"/>
  <c r="V933" i="4" s="1"/>
  <c r="T933" i="4"/>
  <c r="S933" i="4"/>
  <c r="L933" i="4"/>
  <c r="K933" i="4"/>
  <c r="AC932" i="4"/>
  <c r="X932" i="4"/>
  <c r="W932" i="4"/>
  <c r="U932" i="4"/>
  <c r="V932" i="4" s="1"/>
  <c r="T932" i="4"/>
  <c r="S932" i="4"/>
  <c r="L932" i="4"/>
  <c r="K932" i="4"/>
  <c r="AC931" i="4"/>
  <c r="X931" i="4"/>
  <c r="W931" i="4"/>
  <c r="U931" i="4"/>
  <c r="V931" i="4" s="1"/>
  <c r="T931" i="4"/>
  <c r="S931" i="4"/>
  <c r="L931" i="4"/>
  <c r="K931" i="4"/>
  <c r="AC930" i="4"/>
  <c r="X930" i="4"/>
  <c r="W930" i="4"/>
  <c r="U930" i="4"/>
  <c r="V930" i="4" s="1"/>
  <c r="T930" i="4"/>
  <c r="S930" i="4"/>
  <c r="L930" i="4"/>
  <c r="K930" i="4"/>
  <c r="AC929" i="4"/>
  <c r="X929" i="4"/>
  <c r="W929" i="4"/>
  <c r="U929" i="4"/>
  <c r="V929" i="4" s="1"/>
  <c r="T929" i="4"/>
  <c r="S929" i="4"/>
  <c r="L929" i="4"/>
  <c r="K929" i="4"/>
  <c r="AC928" i="4"/>
  <c r="X928" i="4"/>
  <c r="W928" i="4"/>
  <c r="U928" i="4"/>
  <c r="V928" i="4" s="1"/>
  <c r="T928" i="4"/>
  <c r="S928" i="4"/>
  <c r="L928" i="4"/>
  <c r="K928" i="4"/>
  <c r="AC927" i="4"/>
  <c r="X927" i="4"/>
  <c r="W927" i="4"/>
  <c r="U927" i="4"/>
  <c r="V927" i="4" s="1"/>
  <c r="T927" i="4"/>
  <c r="S927" i="4"/>
  <c r="L927" i="4"/>
  <c r="K927" i="4"/>
  <c r="AC926" i="4"/>
  <c r="X926" i="4"/>
  <c r="W926" i="4"/>
  <c r="U926" i="4"/>
  <c r="V926" i="4" s="1"/>
  <c r="T926" i="4"/>
  <c r="S926" i="4"/>
  <c r="L926" i="4"/>
  <c r="K926" i="4"/>
  <c r="AC925" i="4"/>
  <c r="X925" i="4"/>
  <c r="W925" i="4"/>
  <c r="U925" i="4"/>
  <c r="V925" i="4" s="1"/>
  <c r="T925" i="4"/>
  <c r="S925" i="4"/>
  <c r="L925" i="4"/>
  <c r="K925" i="4"/>
  <c r="AC924" i="4"/>
  <c r="X924" i="4"/>
  <c r="W924" i="4"/>
  <c r="U924" i="4"/>
  <c r="V924" i="4" s="1"/>
  <c r="T924" i="4"/>
  <c r="S924" i="4"/>
  <c r="L924" i="4"/>
  <c r="K924" i="4"/>
  <c r="AC923" i="4"/>
  <c r="X923" i="4"/>
  <c r="W923" i="4"/>
  <c r="U923" i="4"/>
  <c r="V923" i="4" s="1"/>
  <c r="T923" i="4"/>
  <c r="S923" i="4"/>
  <c r="L923" i="4"/>
  <c r="K923" i="4"/>
  <c r="AC922" i="4"/>
  <c r="X922" i="4"/>
  <c r="W922" i="4"/>
  <c r="U922" i="4"/>
  <c r="V922" i="4" s="1"/>
  <c r="T922" i="4"/>
  <c r="S922" i="4"/>
  <c r="L922" i="4"/>
  <c r="K922" i="4"/>
  <c r="AC921" i="4"/>
  <c r="X921" i="4"/>
  <c r="W921" i="4"/>
  <c r="U921" i="4"/>
  <c r="V921" i="4" s="1"/>
  <c r="T921" i="4"/>
  <c r="S921" i="4"/>
  <c r="L921" i="4"/>
  <c r="K921" i="4"/>
  <c r="AC920" i="4"/>
  <c r="X920" i="4"/>
  <c r="W920" i="4"/>
  <c r="U920" i="4"/>
  <c r="V920" i="4" s="1"/>
  <c r="T920" i="4"/>
  <c r="S920" i="4"/>
  <c r="L920" i="4"/>
  <c r="K920" i="4"/>
  <c r="AC919" i="4"/>
  <c r="X919" i="4"/>
  <c r="W919" i="4"/>
  <c r="U919" i="4"/>
  <c r="V919" i="4" s="1"/>
  <c r="T919" i="4"/>
  <c r="S919" i="4"/>
  <c r="L919" i="4"/>
  <c r="K919" i="4"/>
  <c r="AC918" i="4"/>
  <c r="X918" i="4"/>
  <c r="W918" i="4"/>
  <c r="V918" i="4"/>
  <c r="U918" i="4"/>
  <c r="T918" i="4"/>
  <c r="S918" i="4"/>
  <c r="L918" i="4"/>
  <c r="K918" i="4"/>
  <c r="AC917" i="4"/>
  <c r="X917" i="4"/>
  <c r="W917" i="4"/>
  <c r="U917" i="4"/>
  <c r="V917" i="4" s="1"/>
  <c r="T917" i="4"/>
  <c r="S917" i="4"/>
  <c r="L917" i="4"/>
  <c r="K917" i="4"/>
  <c r="AC916" i="4"/>
  <c r="X916" i="4"/>
  <c r="W916" i="4"/>
  <c r="U916" i="4"/>
  <c r="V916" i="4" s="1"/>
  <c r="T916" i="4"/>
  <c r="S916" i="4"/>
  <c r="L916" i="4"/>
  <c r="K916" i="4"/>
  <c r="AC915" i="4"/>
  <c r="X915" i="4"/>
  <c r="W915" i="4"/>
  <c r="U915" i="4"/>
  <c r="V915" i="4" s="1"/>
  <c r="T915" i="4"/>
  <c r="S915" i="4"/>
  <c r="L915" i="4"/>
  <c r="K915" i="4"/>
  <c r="AC914" i="4"/>
  <c r="X914" i="4"/>
  <c r="W914" i="4"/>
  <c r="U914" i="4"/>
  <c r="V914" i="4" s="1"/>
  <c r="T914" i="4"/>
  <c r="S914" i="4"/>
  <c r="L914" i="4"/>
  <c r="K914" i="4"/>
  <c r="AC913" i="4"/>
  <c r="X913" i="4"/>
  <c r="W913" i="4"/>
  <c r="U913" i="4"/>
  <c r="V913" i="4" s="1"/>
  <c r="T913" i="4"/>
  <c r="S913" i="4"/>
  <c r="L913" i="4"/>
  <c r="K913" i="4"/>
  <c r="AC912" i="4"/>
  <c r="X912" i="4"/>
  <c r="W912" i="4"/>
  <c r="U912" i="4"/>
  <c r="V912" i="4" s="1"/>
  <c r="T912" i="4"/>
  <c r="S912" i="4"/>
  <c r="L912" i="4"/>
  <c r="K912" i="4"/>
  <c r="AC911" i="4"/>
  <c r="X911" i="4"/>
  <c r="W911" i="4"/>
  <c r="U911" i="4"/>
  <c r="V911" i="4" s="1"/>
  <c r="T911" i="4"/>
  <c r="S911" i="4"/>
  <c r="L911" i="4"/>
  <c r="K911" i="4"/>
  <c r="AC910" i="4"/>
  <c r="X910" i="4"/>
  <c r="W910" i="4"/>
  <c r="V910" i="4"/>
  <c r="U910" i="4"/>
  <c r="T910" i="4"/>
  <c r="S910" i="4"/>
  <c r="L910" i="4"/>
  <c r="K910" i="4"/>
  <c r="AC909" i="4"/>
  <c r="X909" i="4"/>
  <c r="W909" i="4"/>
  <c r="U909" i="4"/>
  <c r="V909" i="4" s="1"/>
  <c r="T909" i="4"/>
  <c r="S909" i="4"/>
  <c r="L909" i="4"/>
  <c r="K909" i="4"/>
  <c r="AC908" i="4"/>
  <c r="X908" i="4"/>
  <c r="W908" i="4"/>
  <c r="U908" i="4"/>
  <c r="V908" i="4" s="1"/>
  <c r="T908" i="4"/>
  <c r="S908" i="4"/>
  <c r="L908" i="4"/>
  <c r="K908" i="4"/>
  <c r="AC907" i="4"/>
  <c r="X907" i="4"/>
  <c r="W907" i="4"/>
  <c r="U907" i="4"/>
  <c r="V907" i="4" s="1"/>
  <c r="T907" i="4"/>
  <c r="S907" i="4"/>
  <c r="L907" i="4"/>
  <c r="K907" i="4"/>
  <c r="AC906" i="4"/>
  <c r="X906" i="4"/>
  <c r="W906" i="4"/>
  <c r="U906" i="4"/>
  <c r="V906" i="4" s="1"/>
  <c r="T906" i="4"/>
  <c r="S906" i="4"/>
  <c r="L906" i="4"/>
  <c r="K906" i="4"/>
  <c r="AC905" i="4"/>
  <c r="X905" i="4"/>
  <c r="W905" i="4"/>
  <c r="U905" i="4"/>
  <c r="V905" i="4" s="1"/>
  <c r="T905" i="4"/>
  <c r="S905" i="4"/>
  <c r="L905" i="4"/>
  <c r="K905" i="4"/>
  <c r="AC904" i="4"/>
  <c r="X904" i="4"/>
  <c r="W904" i="4"/>
  <c r="U904" i="4"/>
  <c r="V904" i="4" s="1"/>
  <c r="T904" i="4"/>
  <c r="S904" i="4"/>
  <c r="L904" i="4"/>
  <c r="K904" i="4"/>
  <c r="AC903" i="4"/>
  <c r="X903" i="4"/>
  <c r="W903" i="4"/>
  <c r="U903" i="4"/>
  <c r="V903" i="4" s="1"/>
  <c r="T903" i="4"/>
  <c r="S903" i="4"/>
  <c r="L903" i="4"/>
  <c r="K903" i="4"/>
  <c r="AC902" i="4"/>
  <c r="X902" i="4"/>
  <c r="W902" i="4"/>
  <c r="U902" i="4"/>
  <c r="V902" i="4" s="1"/>
  <c r="T902" i="4"/>
  <c r="S902" i="4"/>
  <c r="L902" i="4"/>
  <c r="K902" i="4"/>
  <c r="AC901" i="4"/>
  <c r="X901" i="4"/>
  <c r="W901" i="4"/>
  <c r="U901" i="4"/>
  <c r="V901" i="4" s="1"/>
  <c r="T901" i="4"/>
  <c r="S901" i="4"/>
  <c r="L901" i="4"/>
  <c r="K901" i="4"/>
  <c r="AC900" i="4"/>
  <c r="X900" i="4"/>
  <c r="W900" i="4"/>
  <c r="U900" i="4"/>
  <c r="V900" i="4" s="1"/>
  <c r="T900" i="4"/>
  <c r="S900" i="4"/>
  <c r="L900" i="4"/>
  <c r="K900" i="4"/>
  <c r="AC899" i="4"/>
  <c r="X899" i="4"/>
  <c r="W899" i="4"/>
  <c r="U899" i="4"/>
  <c r="V899" i="4" s="1"/>
  <c r="T899" i="4"/>
  <c r="S899" i="4"/>
  <c r="L899" i="4"/>
  <c r="K899" i="4"/>
  <c r="AC898" i="4"/>
  <c r="X898" i="4"/>
  <c r="W898" i="4"/>
  <c r="U898" i="4"/>
  <c r="V898" i="4" s="1"/>
  <c r="T898" i="4"/>
  <c r="S898" i="4"/>
  <c r="L898" i="4"/>
  <c r="K898" i="4"/>
  <c r="AC897" i="4"/>
  <c r="X897" i="4"/>
  <c r="W897" i="4"/>
  <c r="U897" i="4"/>
  <c r="V897" i="4" s="1"/>
  <c r="T897" i="4"/>
  <c r="S897" i="4"/>
  <c r="L897" i="4"/>
  <c r="K897" i="4"/>
  <c r="AC896" i="4"/>
  <c r="X896" i="4"/>
  <c r="W896" i="4"/>
  <c r="U896" i="4"/>
  <c r="V896" i="4" s="1"/>
  <c r="T896" i="4"/>
  <c r="S896" i="4"/>
  <c r="L896" i="4"/>
  <c r="K896" i="4"/>
  <c r="AC895" i="4"/>
  <c r="X895" i="4"/>
  <c r="W895" i="4"/>
  <c r="V895" i="4"/>
  <c r="U895" i="4"/>
  <c r="T895" i="4"/>
  <c r="S895" i="4"/>
  <c r="L895" i="4"/>
  <c r="K895" i="4"/>
  <c r="AC894" i="4"/>
  <c r="X894" i="4"/>
  <c r="W894" i="4"/>
  <c r="U894" i="4"/>
  <c r="V894" i="4" s="1"/>
  <c r="T894" i="4"/>
  <c r="S894" i="4"/>
  <c r="L894" i="4"/>
  <c r="K894" i="4"/>
  <c r="AC893" i="4"/>
  <c r="X893" i="4"/>
  <c r="W893" i="4"/>
  <c r="U893" i="4"/>
  <c r="V893" i="4" s="1"/>
  <c r="T893" i="4"/>
  <c r="S893" i="4"/>
  <c r="L893" i="4"/>
  <c r="K893" i="4"/>
  <c r="AC892" i="4"/>
  <c r="X892" i="4"/>
  <c r="W892" i="4"/>
  <c r="U892" i="4"/>
  <c r="V892" i="4" s="1"/>
  <c r="T892" i="4"/>
  <c r="S892" i="4"/>
  <c r="L892" i="4"/>
  <c r="K892" i="4"/>
  <c r="AC891" i="4"/>
  <c r="X891" i="4"/>
  <c r="W891" i="4"/>
  <c r="U891" i="4"/>
  <c r="V891" i="4" s="1"/>
  <c r="T891" i="4"/>
  <c r="S891" i="4"/>
  <c r="L891" i="4"/>
  <c r="K891" i="4"/>
  <c r="AC890" i="4"/>
  <c r="X890" i="4"/>
  <c r="W890" i="4"/>
  <c r="U890" i="4"/>
  <c r="V890" i="4" s="1"/>
  <c r="T890" i="4"/>
  <c r="S890" i="4"/>
  <c r="L890" i="4"/>
  <c r="K890" i="4"/>
  <c r="AC889" i="4"/>
  <c r="X889" i="4"/>
  <c r="W889" i="4"/>
  <c r="U889" i="4"/>
  <c r="V889" i="4" s="1"/>
  <c r="T889" i="4"/>
  <c r="S889" i="4"/>
  <c r="L889" i="4"/>
  <c r="K889" i="4"/>
  <c r="AC888" i="4"/>
  <c r="X888" i="4"/>
  <c r="W888" i="4"/>
  <c r="U888" i="4"/>
  <c r="V888" i="4" s="1"/>
  <c r="T888" i="4"/>
  <c r="S888" i="4"/>
  <c r="L888" i="4"/>
  <c r="K888" i="4"/>
  <c r="AC887" i="4"/>
  <c r="X887" i="4"/>
  <c r="W887" i="4"/>
  <c r="U887" i="4"/>
  <c r="V887" i="4" s="1"/>
  <c r="P887" i="4" s="1"/>
  <c r="T887" i="4"/>
  <c r="S887" i="4"/>
  <c r="L887" i="4"/>
  <c r="K887" i="4"/>
  <c r="AC886" i="4"/>
  <c r="X886" i="4"/>
  <c r="W886" i="4"/>
  <c r="V886" i="4"/>
  <c r="U886" i="4"/>
  <c r="T886" i="4"/>
  <c r="S886" i="4"/>
  <c r="L886" i="4"/>
  <c r="K886" i="4"/>
  <c r="AC885" i="4"/>
  <c r="X885" i="4"/>
  <c r="W885" i="4"/>
  <c r="U885" i="4"/>
  <c r="V885" i="4" s="1"/>
  <c r="P885" i="4" s="1"/>
  <c r="T885" i="4"/>
  <c r="S885" i="4"/>
  <c r="L885" i="4"/>
  <c r="K885" i="4"/>
  <c r="AC884" i="4"/>
  <c r="X884" i="4"/>
  <c r="W884" i="4"/>
  <c r="U884" i="4"/>
  <c r="V884" i="4" s="1"/>
  <c r="T884" i="4"/>
  <c r="S884" i="4"/>
  <c r="L884" i="4"/>
  <c r="K884" i="4"/>
  <c r="AC883" i="4"/>
  <c r="X883" i="4"/>
  <c r="W883" i="4"/>
  <c r="U883" i="4"/>
  <c r="V883" i="4" s="1"/>
  <c r="P883" i="4" s="1"/>
  <c r="T883" i="4"/>
  <c r="S883" i="4"/>
  <c r="L883" i="4"/>
  <c r="K883" i="4"/>
  <c r="AC882" i="4"/>
  <c r="X882" i="4"/>
  <c r="W882" i="4"/>
  <c r="U882" i="4"/>
  <c r="V882" i="4" s="1"/>
  <c r="T882" i="4"/>
  <c r="S882" i="4"/>
  <c r="L882" i="4"/>
  <c r="K882" i="4"/>
  <c r="AC881" i="4"/>
  <c r="X881" i="4"/>
  <c r="W881" i="4"/>
  <c r="U881" i="4"/>
  <c r="V881" i="4" s="1"/>
  <c r="T881" i="4"/>
  <c r="S881" i="4"/>
  <c r="L881" i="4"/>
  <c r="K881" i="4"/>
  <c r="AC880" i="4"/>
  <c r="X880" i="4"/>
  <c r="W880" i="4"/>
  <c r="U880" i="4"/>
  <c r="V880" i="4" s="1"/>
  <c r="T880" i="4"/>
  <c r="S880" i="4"/>
  <c r="L880" i="4"/>
  <c r="K880" i="4"/>
  <c r="AC879" i="4"/>
  <c r="X879" i="4"/>
  <c r="W879" i="4"/>
  <c r="V879" i="4"/>
  <c r="U879" i="4"/>
  <c r="T879" i="4"/>
  <c r="S879" i="4"/>
  <c r="L879" i="4"/>
  <c r="K879" i="4"/>
  <c r="AC878" i="4"/>
  <c r="X878" i="4"/>
  <c r="W878" i="4"/>
  <c r="V878" i="4"/>
  <c r="U878" i="4"/>
  <c r="T878" i="4"/>
  <c r="S878" i="4"/>
  <c r="L878" i="4"/>
  <c r="K878" i="4"/>
  <c r="AC877" i="4"/>
  <c r="X877" i="4"/>
  <c r="W877" i="4"/>
  <c r="U877" i="4"/>
  <c r="V877" i="4" s="1"/>
  <c r="T877" i="4"/>
  <c r="S877" i="4"/>
  <c r="L877" i="4"/>
  <c r="K877" i="4"/>
  <c r="AC876" i="4"/>
  <c r="X876" i="4"/>
  <c r="W876" i="4"/>
  <c r="U876" i="4"/>
  <c r="V876" i="4" s="1"/>
  <c r="T876" i="4"/>
  <c r="S876" i="4"/>
  <c r="L876" i="4"/>
  <c r="K876" i="4"/>
  <c r="AC875" i="4"/>
  <c r="X875" i="4"/>
  <c r="W875" i="4"/>
  <c r="U875" i="4"/>
  <c r="V875" i="4" s="1"/>
  <c r="T875" i="4"/>
  <c r="S875" i="4"/>
  <c r="L875" i="4"/>
  <c r="K875" i="4"/>
  <c r="AC874" i="4"/>
  <c r="X874" i="4"/>
  <c r="W874" i="4"/>
  <c r="U874" i="4"/>
  <c r="V874" i="4" s="1"/>
  <c r="T874" i="4"/>
  <c r="S874" i="4"/>
  <c r="L874" i="4"/>
  <c r="K874" i="4"/>
  <c r="AC873" i="4"/>
  <c r="X873" i="4"/>
  <c r="W873" i="4"/>
  <c r="U873" i="4"/>
  <c r="V873" i="4" s="1"/>
  <c r="T873" i="4"/>
  <c r="S873" i="4"/>
  <c r="L873" i="4"/>
  <c r="K873" i="4"/>
  <c r="AC872" i="4"/>
  <c r="X872" i="4"/>
  <c r="W872" i="4"/>
  <c r="U872" i="4"/>
  <c r="V872" i="4" s="1"/>
  <c r="T872" i="4"/>
  <c r="S872" i="4"/>
  <c r="L872" i="4"/>
  <c r="K872" i="4"/>
  <c r="AC871" i="4"/>
  <c r="X871" i="4"/>
  <c r="W871" i="4"/>
  <c r="U871" i="4"/>
  <c r="V871" i="4" s="1"/>
  <c r="T871" i="4"/>
  <c r="S871" i="4"/>
  <c r="L871" i="4"/>
  <c r="K871" i="4"/>
  <c r="AC870" i="4"/>
  <c r="X870" i="4"/>
  <c r="W870" i="4"/>
  <c r="U870" i="4"/>
  <c r="V870" i="4" s="1"/>
  <c r="T870" i="4"/>
  <c r="S870" i="4"/>
  <c r="L870" i="4"/>
  <c r="K870" i="4"/>
  <c r="AC869" i="4"/>
  <c r="X869" i="4"/>
  <c r="W869" i="4"/>
  <c r="U869" i="4"/>
  <c r="V869" i="4" s="1"/>
  <c r="T869" i="4"/>
  <c r="S869" i="4"/>
  <c r="L869" i="4"/>
  <c r="K869" i="4"/>
  <c r="AC868" i="4"/>
  <c r="X868" i="4"/>
  <c r="W868" i="4"/>
  <c r="U868" i="4"/>
  <c r="V868" i="4" s="1"/>
  <c r="T868" i="4"/>
  <c r="S868" i="4"/>
  <c r="L868" i="4"/>
  <c r="K868" i="4"/>
  <c r="AC867" i="4"/>
  <c r="X867" i="4"/>
  <c r="W867" i="4"/>
  <c r="U867" i="4"/>
  <c r="V867" i="4" s="1"/>
  <c r="T867" i="4"/>
  <c r="S867" i="4"/>
  <c r="L867" i="4"/>
  <c r="K867" i="4"/>
  <c r="AC866" i="4"/>
  <c r="X866" i="4"/>
  <c r="W866" i="4"/>
  <c r="U866" i="4"/>
  <c r="V866" i="4" s="1"/>
  <c r="T866" i="4"/>
  <c r="S866" i="4"/>
  <c r="L866" i="4"/>
  <c r="K866" i="4"/>
  <c r="AC865" i="4"/>
  <c r="X865" i="4"/>
  <c r="W865" i="4"/>
  <c r="U865" i="4"/>
  <c r="V865" i="4" s="1"/>
  <c r="T865" i="4"/>
  <c r="S865" i="4"/>
  <c r="L865" i="4"/>
  <c r="K865" i="4"/>
  <c r="AC864" i="4"/>
  <c r="X864" i="4"/>
  <c r="W864" i="4"/>
  <c r="U864" i="4"/>
  <c r="V864" i="4" s="1"/>
  <c r="T864" i="4"/>
  <c r="S864" i="4"/>
  <c r="L864" i="4"/>
  <c r="K864" i="4"/>
  <c r="AC863" i="4"/>
  <c r="X863" i="4"/>
  <c r="W863" i="4"/>
  <c r="V863" i="4"/>
  <c r="U863" i="4"/>
  <c r="T863" i="4"/>
  <c r="S863" i="4"/>
  <c r="L863" i="4"/>
  <c r="K863" i="4"/>
  <c r="AC862" i="4"/>
  <c r="X862" i="4"/>
  <c r="W862" i="4"/>
  <c r="U862" i="4"/>
  <c r="V862" i="4" s="1"/>
  <c r="T862" i="4"/>
  <c r="S862" i="4"/>
  <c r="L862" i="4"/>
  <c r="K862" i="4"/>
  <c r="AC861" i="4"/>
  <c r="X861" i="4"/>
  <c r="W861" i="4"/>
  <c r="U861" i="4"/>
  <c r="V861" i="4" s="1"/>
  <c r="T861" i="4"/>
  <c r="S861" i="4"/>
  <c r="L861" i="4"/>
  <c r="K861" i="4"/>
  <c r="AC860" i="4"/>
  <c r="X860" i="4"/>
  <c r="W860" i="4"/>
  <c r="U860" i="4"/>
  <c r="V860" i="4" s="1"/>
  <c r="T860" i="4"/>
  <c r="S860" i="4"/>
  <c r="L860" i="4"/>
  <c r="K860" i="4"/>
  <c r="AC859" i="4"/>
  <c r="X859" i="4"/>
  <c r="W859" i="4"/>
  <c r="U859" i="4"/>
  <c r="V859" i="4" s="1"/>
  <c r="T859" i="4"/>
  <c r="S859" i="4"/>
  <c r="L859" i="4"/>
  <c r="K859" i="4"/>
  <c r="AC858" i="4"/>
  <c r="X858" i="4"/>
  <c r="W858" i="4"/>
  <c r="U858" i="4"/>
  <c r="V858" i="4" s="1"/>
  <c r="T858" i="4"/>
  <c r="S858" i="4"/>
  <c r="L858" i="4"/>
  <c r="K858" i="4"/>
  <c r="AC857" i="4"/>
  <c r="X857" i="4"/>
  <c r="W857" i="4"/>
  <c r="U857" i="4"/>
  <c r="V857" i="4" s="1"/>
  <c r="T857" i="4"/>
  <c r="S857" i="4"/>
  <c r="L857" i="4"/>
  <c r="K857" i="4"/>
  <c r="AC856" i="4"/>
  <c r="X856" i="4"/>
  <c r="W856" i="4"/>
  <c r="U856" i="4"/>
  <c r="V856" i="4" s="1"/>
  <c r="T856" i="4"/>
  <c r="S856" i="4"/>
  <c r="L856" i="4"/>
  <c r="K856" i="4"/>
  <c r="AC855" i="4"/>
  <c r="X855" i="4"/>
  <c r="W855" i="4"/>
  <c r="U855" i="4"/>
  <c r="V855" i="4" s="1"/>
  <c r="T855" i="4"/>
  <c r="S855" i="4"/>
  <c r="L855" i="4"/>
  <c r="K855" i="4"/>
  <c r="AC854" i="4"/>
  <c r="X854" i="4"/>
  <c r="W854" i="4"/>
  <c r="V854" i="4"/>
  <c r="U854" i="4"/>
  <c r="T854" i="4"/>
  <c r="S854" i="4"/>
  <c r="L854" i="4"/>
  <c r="K854" i="4"/>
  <c r="AC853" i="4"/>
  <c r="X853" i="4"/>
  <c r="W853" i="4"/>
  <c r="U853" i="4"/>
  <c r="V853" i="4" s="1"/>
  <c r="T853" i="4"/>
  <c r="S853" i="4"/>
  <c r="L853" i="4"/>
  <c r="K853" i="4"/>
  <c r="AC852" i="4"/>
  <c r="X852" i="4"/>
  <c r="W852" i="4"/>
  <c r="U852" i="4"/>
  <c r="V852" i="4" s="1"/>
  <c r="T852" i="4"/>
  <c r="S852" i="4"/>
  <c r="L852" i="4"/>
  <c r="K852" i="4"/>
  <c r="AC851" i="4"/>
  <c r="X851" i="4"/>
  <c r="W851" i="4"/>
  <c r="U851" i="4"/>
  <c r="V851" i="4" s="1"/>
  <c r="T851" i="4"/>
  <c r="S851" i="4"/>
  <c r="L851" i="4"/>
  <c r="K851" i="4"/>
  <c r="AC850" i="4"/>
  <c r="X850" i="4"/>
  <c r="W850" i="4"/>
  <c r="U850" i="4"/>
  <c r="V850" i="4" s="1"/>
  <c r="T850" i="4"/>
  <c r="S850" i="4"/>
  <c r="L850" i="4"/>
  <c r="K850" i="4"/>
  <c r="AC849" i="4"/>
  <c r="X849" i="4"/>
  <c r="W849" i="4"/>
  <c r="U849" i="4"/>
  <c r="V849" i="4" s="1"/>
  <c r="T849" i="4"/>
  <c r="S849" i="4"/>
  <c r="L849" i="4"/>
  <c r="K849" i="4"/>
  <c r="AC848" i="4"/>
  <c r="X848" i="4"/>
  <c r="W848" i="4"/>
  <c r="U848" i="4"/>
  <c r="V848" i="4" s="1"/>
  <c r="T848" i="4"/>
  <c r="S848" i="4"/>
  <c r="L848" i="4"/>
  <c r="K848" i="4"/>
  <c r="AC847" i="4"/>
  <c r="X847" i="4"/>
  <c r="W847" i="4"/>
  <c r="V847" i="4"/>
  <c r="U847" i="4"/>
  <c r="T847" i="4"/>
  <c r="S847" i="4"/>
  <c r="L847" i="4"/>
  <c r="K847" i="4"/>
  <c r="AC846" i="4"/>
  <c r="X846" i="4"/>
  <c r="W846" i="4"/>
  <c r="V846" i="4"/>
  <c r="U846" i="4"/>
  <c r="T846" i="4"/>
  <c r="S846" i="4"/>
  <c r="L846" i="4"/>
  <c r="K846" i="4"/>
  <c r="AC845" i="4"/>
  <c r="X845" i="4"/>
  <c r="W845" i="4"/>
  <c r="U845" i="4"/>
  <c r="V845" i="4" s="1"/>
  <c r="T845" i="4"/>
  <c r="S845" i="4"/>
  <c r="L845" i="4"/>
  <c r="K845" i="4"/>
  <c r="AC844" i="4"/>
  <c r="X844" i="4"/>
  <c r="W844" i="4"/>
  <c r="U844" i="4"/>
  <c r="V844" i="4" s="1"/>
  <c r="T844" i="4"/>
  <c r="S844" i="4"/>
  <c r="L844" i="4"/>
  <c r="K844" i="4"/>
  <c r="AC843" i="4"/>
  <c r="X843" i="4"/>
  <c r="W843" i="4"/>
  <c r="U843" i="4"/>
  <c r="V843" i="4" s="1"/>
  <c r="T843" i="4"/>
  <c r="S843" i="4"/>
  <c r="L843" i="4"/>
  <c r="K843" i="4"/>
  <c r="AC842" i="4"/>
  <c r="X842" i="4"/>
  <c r="W842" i="4"/>
  <c r="U842" i="4"/>
  <c r="V842" i="4" s="1"/>
  <c r="T842" i="4"/>
  <c r="S842" i="4"/>
  <c r="L842" i="4"/>
  <c r="K842" i="4"/>
  <c r="AC841" i="4"/>
  <c r="X841" i="4"/>
  <c r="W841" i="4"/>
  <c r="U841" i="4"/>
  <c r="V841" i="4" s="1"/>
  <c r="T841" i="4"/>
  <c r="S841" i="4"/>
  <c r="L841" i="4"/>
  <c r="K841" i="4"/>
  <c r="AC840" i="4"/>
  <c r="X840" i="4"/>
  <c r="W840" i="4"/>
  <c r="U840" i="4"/>
  <c r="V840" i="4" s="1"/>
  <c r="T840" i="4"/>
  <c r="S840" i="4"/>
  <c r="L840" i="4"/>
  <c r="K840" i="4"/>
  <c r="AC839" i="4"/>
  <c r="X839" i="4"/>
  <c r="W839" i="4"/>
  <c r="U839" i="4"/>
  <c r="V839" i="4" s="1"/>
  <c r="T839" i="4"/>
  <c r="S839" i="4"/>
  <c r="L839" i="4"/>
  <c r="K839" i="4"/>
  <c r="AC838" i="4"/>
  <c r="X838" i="4"/>
  <c r="W838" i="4"/>
  <c r="U838" i="4"/>
  <c r="V838" i="4" s="1"/>
  <c r="P838" i="4" s="1"/>
  <c r="T838" i="4"/>
  <c r="S838" i="4"/>
  <c r="L838" i="4"/>
  <c r="K838" i="4"/>
  <c r="AC837" i="4"/>
  <c r="X837" i="4"/>
  <c r="W837" i="4"/>
  <c r="U837" i="4"/>
  <c r="V837" i="4" s="1"/>
  <c r="T837" i="4"/>
  <c r="S837" i="4"/>
  <c r="L837" i="4"/>
  <c r="K837" i="4"/>
  <c r="AC836" i="4"/>
  <c r="X836" i="4"/>
  <c r="W836" i="4"/>
  <c r="U836" i="4"/>
  <c r="V836" i="4" s="1"/>
  <c r="P836" i="4" s="1"/>
  <c r="T836" i="4"/>
  <c r="S836" i="4"/>
  <c r="L836" i="4"/>
  <c r="K836" i="4"/>
  <c r="AC835" i="4"/>
  <c r="X835" i="4"/>
  <c r="W835" i="4"/>
  <c r="U835" i="4"/>
  <c r="V835" i="4" s="1"/>
  <c r="T835" i="4"/>
  <c r="S835" i="4"/>
  <c r="L835" i="4"/>
  <c r="K835" i="4"/>
  <c r="AC834" i="4"/>
  <c r="X834" i="4"/>
  <c r="W834" i="4"/>
  <c r="U834" i="4"/>
  <c r="V834" i="4" s="1"/>
  <c r="P834" i="4" s="1"/>
  <c r="T834" i="4"/>
  <c r="S834" i="4"/>
  <c r="L834" i="4"/>
  <c r="K834" i="4"/>
  <c r="AC833" i="4"/>
  <c r="X833" i="4"/>
  <c r="W833" i="4"/>
  <c r="U833" i="4"/>
  <c r="V833" i="4" s="1"/>
  <c r="T833" i="4"/>
  <c r="S833" i="4"/>
  <c r="L833" i="4"/>
  <c r="K833" i="4"/>
  <c r="AC832" i="4"/>
  <c r="X832" i="4"/>
  <c r="W832" i="4"/>
  <c r="V832" i="4"/>
  <c r="P832" i="4" s="1"/>
  <c r="U832" i="4"/>
  <c r="T832" i="4"/>
  <c r="S832" i="4"/>
  <c r="L832" i="4"/>
  <c r="K832" i="4"/>
  <c r="AC831" i="4"/>
  <c r="X831" i="4"/>
  <c r="W831" i="4"/>
  <c r="U831" i="4"/>
  <c r="V831" i="4" s="1"/>
  <c r="P831" i="4" s="1"/>
  <c r="T831" i="4"/>
  <c r="S831" i="4"/>
  <c r="L831" i="4"/>
  <c r="K831" i="4"/>
  <c r="AC830" i="4"/>
  <c r="X830" i="4"/>
  <c r="W830" i="4"/>
  <c r="V830" i="4"/>
  <c r="U830" i="4"/>
  <c r="T830" i="4"/>
  <c r="S830" i="4"/>
  <c r="L830" i="4"/>
  <c r="K830" i="4"/>
  <c r="AC829" i="4"/>
  <c r="X829" i="4"/>
  <c r="W829" i="4"/>
  <c r="U829" i="4"/>
  <c r="V829" i="4" s="1"/>
  <c r="T829" i="4"/>
  <c r="S829" i="4"/>
  <c r="L829" i="4"/>
  <c r="K829" i="4"/>
  <c r="AC828" i="4"/>
  <c r="X828" i="4"/>
  <c r="W828" i="4"/>
  <c r="V828" i="4"/>
  <c r="U828" i="4"/>
  <c r="T828" i="4"/>
  <c r="S828" i="4"/>
  <c r="L828" i="4"/>
  <c r="K828" i="4"/>
  <c r="AC827" i="4"/>
  <c r="X827" i="4"/>
  <c r="W827" i="4"/>
  <c r="U827" i="4"/>
  <c r="V827" i="4" s="1"/>
  <c r="T827" i="4"/>
  <c r="S827" i="4"/>
  <c r="L827" i="4"/>
  <c r="K827" i="4"/>
  <c r="AC826" i="4"/>
  <c r="X826" i="4"/>
  <c r="W826" i="4"/>
  <c r="U826" i="4"/>
  <c r="V826" i="4" s="1"/>
  <c r="T826" i="4"/>
  <c r="S826" i="4"/>
  <c r="L826" i="4"/>
  <c r="K826" i="4"/>
  <c r="AC825" i="4"/>
  <c r="X825" i="4"/>
  <c r="W825" i="4"/>
  <c r="V825" i="4"/>
  <c r="U825" i="4"/>
  <c r="T825" i="4"/>
  <c r="S825" i="4"/>
  <c r="L825" i="4"/>
  <c r="K825" i="4"/>
  <c r="AC824" i="4"/>
  <c r="X824" i="4"/>
  <c r="W824" i="4"/>
  <c r="V824" i="4"/>
  <c r="U824" i="4"/>
  <c r="T824" i="4"/>
  <c r="S824" i="4"/>
  <c r="L824" i="4"/>
  <c r="K824" i="4"/>
  <c r="AC823" i="4"/>
  <c r="X823" i="4"/>
  <c r="W823" i="4"/>
  <c r="V823" i="4"/>
  <c r="U823" i="4"/>
  <c r="T823" i="4"/>
  <c r="S823" i="4"/>
  <c r="L823" i="4"/>
  <c r="K823" i="4"/>
  <c r="AC822" i="4"/>
  <c r="X822" i="4"/>
  <c r="W822" i="4"/>
  <c r="U822" i="4"/>
  <c r="V822" i="4" s="1"/>
  <c r="P822" i="4" s="1"/>
  <c r="T822" i="4"/>
  <c r="S822" i="4"/>
  <c r="L822" i="4"/>
  <c r="K822" i="4"/>
  <c r="AC821" i="4"/>
  <c r="X821" i="4"/>
  <c r="W821" i="4"/>
  <c r="U821" i="4"/>
  <c r="V821" i="4" s="1"/>
  <c r="T821" i="4"/>
  <c r="S821" i="4"/>
  <c r="L821" i="4"/>
  <c r="K821" i="4"/>
  <c r="AC820" i="4"/>
  <c r="X820" i="4"/>
  <c r="W820" i="4"/>
  <c r="V820" i="4"/>
  <c r="U820" i="4"/>
  <c r="T820" i="4"/>
  <c r="S820" i="4"/>
  <c r="L820" i="4"/>
  <c r="K820" i="4"/>
  <c r="AC819" i="4"/>
  <c r="X819" i="4"/>
  <c r="W819" i="4"/>
  <c r="V819" i="4"/>
  <c r="U819" i="4"/>
  <c r="T819" i="4"/>
  <c r="S819" i="4"/>
  <c r="L819" i="4"/>
  <c r="K819" i="4"/>
  <c r="AC818" i="4"/>
  <c r="X818" i="4"/>
  <c r="W818" i="4"/>
  <c r="U818" i="4"/>
  <c r="V818" i="4" s="1"/>
  <c r="T818" i="4"/>
  <c r="S818" i="4"/>
  <c r="L818" i="4"/>
  <c r="K818" i="4"/>
  <c r="AC817" i="4"/>
  <c r="X817" i="4"/>
  <c r="W817" i="4"/>
  <c r="V817" i="4"/>
  <c r="U817" i="4"/>
  <c r="T817" i="4"/>
  <c r="S817" i="4"/>
  <c r="L817" i="4"/>
  <c r="K817" i="4"/>
  <c r="AC816" i="4"/>
  <c r="X816" i="4"/>
  <c r="W816" i="4"/>
  <c r="V816" i="4"/>
  <c r="U816" i="4"/>
  <c r="T816" i="4"/>
  <c r="S816" i="4"/>
  <c r="L816" i="4"/>
  <c r="K816" i="4"/>
  <c r="AC815" i="4"/>
  <c r="X815" i="4"/>
  <c r="W815" i="4"/>
  <c r="V815" i="4"/>
  <c r="U815" i="4"/>
  <c r="T815" i="4"/>
  <c r="S815" i="4"/>
  <c r="L815" i="4"/>
  <c r="K815" i="4"/>
  <c r="AC814" i="4"/>
  <c r="X814" i="4"/>
  <c r="W814" i="4"/>
  <c r="V814" i="4"/>
  <c r="U814" i="4"/>
  <c r="T814" i="4"/>
  <c r="S814" i="4"/>
  <c r="L814" i="4"/>
  <c r="K814" i="4"/>
  <c r="AC813" i="4"/>
  <c r="X813" i="4"/>
  <c r="W813" i="4"/>
  <c r="U813" i="4"/>
  <c r="V813" i="4" s="1"/>
  <c r="T813" i="4"/>
  <c r="S813" i="4"/>
  <c r="L813" i="4"/>
  <c r="K813" i="4"/>
  <c r="AC812" i="4"/>
  <c r="X812" i="4"/>
  <c r="W812" i="4"/>
  <c r="V812" i="4"/>
  <c r="U812" i="4"/>
  <c r="T812" i="4"/>
  <c r="S812" i="4"/>
  <c r="L812" i="4"/>
  <c r="K812" i="4"/>
  <c r="AC811" i="4"/>
  <c r="X811" i="4"/>
  <c r="W811" i="4"/>
  <c r="U811" i="4"/>
  <c r="V811" i="4" s="1"/>
  <c r="T811" i="4"/>
  <c r="S811" i="4"/>
  <c r="L811" i="4"/>
  <c r="K811" i="4"/>
  <c r="AC810" i="4"/>
  <c r="X810" i="4"/>
  <c r="W810" i="4"/>
  <c r="U810" i="4"/>
  <c r="V810" i="4" s="1"/>
  <c r="T810" i="4"/>
  <c r="S810" i="4"/>
  <c r="L810" i="4"/>
  <c r="K810" i="4"/>
  <c r="AC809" i="4"/>
  <c r="X809" i="4"/>
  <c r="W809" i="4"/>
  <c r="U809" i="4"/>
  <c r="V809" i="4" s="1"/>
  <c r="T809" i="4"/>
  <c r="S809" i="4"/>
  <c r="L809" i="4"/>
  <c r="K809" i="4"/>
  <c r="AC808" i="4"/>
  <c r="X808" i="4"/>
  <c r="W808" i="4"/>
  <c r="U808" i="4"/>
  <c r="V808" i="4" s="1"/>
  <c r="T808" i="4"/>
  <c r="S808" i="4"/>
  <c r="L808" i="4"/>
  <c r="K808" i="4"/>
  <c r="AC807" i="4"/>
  <c r="X807" i="4"/>
  <c r="W807" i="4"/>
  <c r="V807" i="4"/>
  <c r="U807" i="4"/>
  <c r="T807" i="4"/>
  <c r="S807" i="4"/>
  <c r="L807" i="4"/>
  <c r="K807" i="4"/>
  <c r="AC806" i="4"/>
  <c r="X806" i="4"/>
  <c r="W806" i="4"/>
  <c r="U806" i="4"/>
  <c r="V806" i="4" s="1"/>
  <c r="T806" i="4"/>
  <c r="S806" i="4"/>
  <c r="L806" i="4"/>
  <c r="K806" i="4"/>
  <c r="AC805" i="4"/>
  <c r="X805" i="4"/>
  <c r="W805" i="4"/>
  <c r="U805" i="4"/>
  <c r="V805" i="4" s="1"/>
  <c r="T805" i="4"/>
  <c r="S805" i="4"/>
  <c r="L805" i="4"/>
  <c r="K805" i="4"/>
  <c r="AC804" i="4"/>
  <c r="X804" i="4"/>
  <c r="W804" i="4"/>
  <c r="U804" i="4"/>
  <c r="V804" i="4" s="1"/>
  <c r="T804" i="4"/>
  <c r="S804" i="4"/>
  <c r="L804" i="4"/>
  <c r="K804" i="4"/>
  <c r="AC803" i="4"/>
  <c r="X803" i="4"/>
  <c r="W803" i="4"/>
  <c r="V803" i="4"/>
  <c r="U803" i="4"/>
  <c r="T803" i="4"/>
  <c r="S803" i="4"/>
  <c r="L803" i="4"/>
  <c r="K803" i="4"/>
  <c r="AC802" i="4"/>
  <c r="X802" i="4"/>
  <c r="W802" i="4"/>
  <c r="U802" i="4"/>
  <c r="V802" i="4" s="1"/>
  <c r="T802" i="4"/>
  <c r="S802" i="4"/>
  <c r="L802" i="4"/>
  <c r="K802" i="4"/>
  <c r="AC801" i="4"/>
  <c r="X801" i="4"/>
  <c r="W801" i="4"/>
  <c r="V801" i="4"/>
  <c r="U801" i="4"/>
  <c r="T801" i="4"/>
  <c r="S801" i="4"/>
  <c r="L801" i="4"/>
  <c r="K801" i="4"/>
  <c r="AC800" i="4"/>
  <c r="X800" i="4"/>
  <c r="W800" i="4"/>
  <c r="U800" i="4"/>
  <c r="V800" i="4" s="1"/>
  <c r="T800" i="4"/>
  <c r="S800" i="4"/>
  <c r="L800" i="4"/>
  <c r="K800" i="4"/>
  <c r="AC799" i="4"/>
  <c r="X799" i="4"/>
  <c r="W799" i="4"/>
  <c r="U799" i="4"/>
  <c r="V799" i="4" s="1"/>
  <c r="T799" i="4"/>
  <c r="S799" i="4"/>
  <c r="L799" i="4"/>
  <c r="K799" i="4"/>
  <c r="AC798" i="4"/>
  <c r="X798" i="4"/>
  <c r="W798" i="4"/>
  <c r="V798" i="4"/>
  <c r="U798" i="4"/>
  <c r="T798" i="4"/>
  <c r="S798" i="4"/>
  <c r="L798" i="4"/>
  <c r="K798" i="4"/>
  <c r="AC797" i="4"/>
  <c r="X797" i="4"/>
  <c r="W797" i="4"/>
  <c r="U797" i="4"/>
  <c r="V797" i="4" s="1"/>
  <c r="T797" i="4"/>
  <c r="S797" i="4"/>
  <c r="L797" i="4"/>
  <c r="K797" i="4"/>
  <c r="AC796" i="4"/>
  <c r="X796" i="4"/>
  <c r="W796" i="4"/>
  <c r="V796" i="4"/>
  <c r="U796" i="4"/>
  <c r="T796" i="4"/>
  <c r="S796" i="4"/>
  <c r="L796" i="4"/>
  <c r="K796" i="4"/>
  <c r="AC795" i="4"/>
  <c r="X795" i="4"/>
  <c r="W795" i="4"/>
  <c r="U795" i="4"/>
  <c r="V795" i="4" s="1"/>
  <c r="T795" i="4"/>
  <c r="S795" i="4"/>
  <c r="L795" i="4"/>
  <c r="K795" i="4"/>
  <c r="AC794" i="4"/>
  <c r="X794" i="4"/>
  <c r="W794" i="4"/>
  <c r="U794" i="4"/>
  <c r="V794" i="4" s="1"/>
  <c r="T794" i="4"/>
  <c r="S794" i="4"/>
  <c r="L794" i="4"/>
  <c r="K794" i="4"/>
  <c r="AC793" i="4"/>
  <c r="X793" i="4"/>
  <c r="W793" i="4"/>
  <c r="V793" i="4"/>
  <c r="U793" i="4"/>
  <c r="T793" i="4"/>
  <c r="S793" i="4"/>
  <c r="L793" i="4"/>
  <c r="K793" i="4"/>
  <c r="AC792" i="4"/>
  <c r="X792" i="4"/>
  <c r="W792" i="4"/>
  <c r="V792" i="4"/>
  <c r="U792" i="4"/>
  <c r="T792" i="4"/>
  <c r="S792" i="4"/>
  <c r="L792" i="4"/>
  <c r="K792" i="4"/>
  <c r="AC791" i="4"/>
  <c r="X791" i="4"/>
  <c r="W791" i="4"/>
  <c r="V791" i="4"/>
  <c r="U791" i="4"/>
  <c r="T791" i="4"/>
  <c r="S791" i="4"/>
  <c r="L791" i="4"/>
  <c r="K791" i="4"/>
  <c r="AC790" i="4"/>
  <c r="X790" i="4"/>
  <c r="W790" i="4"/>
  <c r="U790" i="4"/>
  <c r="V790" i="4" s="1"/>
  <c r="T790" i="4"/>
  <c r="S790" i="4"/>
  <c r="L790" i="4"/>
  <c r="K790" i="4"/>
  <c r="AC789" i="4"/>
  <c r="X789" i="4"/>
  <c r="W789" i="4"/>
  <c r="U789" i="4"/>
  <c r="V789" i="4" s="1"/>
  <c r="T789" i="4"/>
  <c r="S789" i="4"/>
  <c r="L789" i="4"/>
  <c r="K789" i="4"/>
  <c r="AC788" i="4"/>
  <c r="X788" i="4"/>
  <c r="W788" i="4"/>
  <c r="V788" i="4"/>
  <c r="U788" i="4"/>
  <c r="T788" i="4"/>
  <c r="S788" i="4"/>
  <c r="L788" i="4"/>
  <c r="K788" i="4"/>
  <c r="AC787" i="4"/>
  <c r="X787" i="4"/>
  <c r="W787" i="4"/>
  <c r="V787" i="4"/>
  <c r="U787" i="4"/>
  <c r="T787" i="4"/>
  <c r="S787" i="4"/>
  <c r="L787" i="4"/>
  <c r="K787" i="4"/>
  <c r="AC786" i="4"/>
  <c r="X786" i="4"/>
  <c r="W786" i="4"/>
  <c r="U786" i="4"/>
  <c r="V786" i="4" s="1"/>
  <c r="T786" i="4"/>
  <c r="S786" i="4"/>
  <c r="L786" i="4"/>
  <c r="K786" i="4"/>
  <c r="AC785" i="4"/>
  <c r="X785" i="4"/>
  <c r="W785" i="4"/>
  <c r="V785" i="4"/>
  <c r="U785" i="4"/>
  <c r="T785" i="4"/>
  <c r="S785" i="4"/>
  <c r="L785" i="4"/>
  <c r="K785" i="4"/>
  <c r="AC784" i="4"/>
  <c r="X784" i="4"/>
  <c r="W784" i="4"/>
  <c r="V784" i="4"/>
  <c r="U784" i="4"/>
  <c r="T784" i="4"/>
  <c r="S784" i="4"/>
  <c r="L784" i="4"/>
  <c r="K784" i="4"/>
  <c r="AC783" i="4"/>
  <c r="X783" i="4"/>
  <c r="W783" i="4"/>
  <c r="V783" i="4"/>
  <c r="U783" i="4"/>
  <c r="T783" i="4"/>
  <c r="S783" i="4"/>
  <c r="L783" i="4"/>
  <c r="K783" i="4"/>
  <c r="AC782" i="4"/>
  <c r="X782" i="4"/>
  <c r="W782" i="4"/>
  <c r="V782" i="4"/>
  <c r="U782" i="4"/>
  <c r="T782" i="4"/>
  <c r="S782" i="4"/>
  <c r="L782" i="4"/>
  <c r="K782" i="4"/>
  <c r="AC781" i="4"/>
  <c r="X781" i="4"/>
  <c r="W781" i="4"/>
  <c r="U781" i="4"/>
  <c r="V781" i="4" s="1"/>
  <c r="T781" i="4"/>
  <c r="S781" i="4"/>
  <c r="L781" i="4"/>
  <c r="K781" i="4"/>
  <c r="AC780" i="4"/>
  <c r="X780" i="4"/>
  <c r="W780" i="4"/>
  <c r="V780" i="4"/>
  <c r="U780" i="4"/>
  <c r="T780" i="4"/>
  <c r="S780" i="4"/>
  <c r="L780" i="4"/>
  <c r="K780" i="4"/>
  <c r="AC779" i="4"/>
  <c r="X779" i="4"/>
  <c r="W779" i="4"/>
  <c r="U779" i="4"/>
  <c r="V779" i="4" s="1"/>
  <c r="T779" i="4"/>
  <c r="S779" i="4"/>
  <c r="L779" i="4"/>
  <c r="K779" i="4"/>
  <c r="AC778" i="4"/>
  <c r="X778" i="4"/>
  <c r="W778" i="4"/>
  <c r="U778" i="4"/>
  <c r="V778" i="4" s="1"/>
  <c r="T778" i="4"/>
  <c r="S778" i="4"/>
  <c r="L778" i="4"/>
  <c r="K778" i="4"/>
  <c r="AC777" i="4"/>
  <c r="X777" i="4"/>
  <c r="W777" i="4"/>
  <c r="U777" i="4"/>
  <c r="V777" i="4" s="1"/>
  <c r="T777" i="4"/>
  <c r="S777" i="4"/>
  <c r="L777" i="4"/>
  <c r="K777" i="4"/>
  <c r="AC776" i="4"/>
  <c r="X776" i="4"/>
  <c r="W776" i="4"/>
  <c r="U776" i="4"/>
  <c r="V776" i="4" s="1"/>
  <c r="T776" i="4"/>
  <c r="S776" i="4"/>
  <c r="L776" i="4"/>
  <c r="K776" i="4"/>
  <c r="AC775" i="4"/>
  <c r="X775" i="4"/>
  <c r="W775" i="4"/>
  <c r="V775" i="4"/>
  <c r="U775" i="4"/>
  <c r="T775" i="4"/>
  <c r="S775" i="4"/>
  <c r="L775" i="4"/>
  <c r="K775" i="4"/>
  <c r="AC774" i="4"/>
  <c r="X774" i="4"/>
  <c r="W774" i="4"/>
  <c r="U774" i="4"/>
  <c r="V774" i="4" s="1"/>
  <c r="T774" i="4"/>
  <c r="S774" i="4"/>
  <c r="L774" i="4"/>
  <c r="K774" i="4"/>
  <c r="AC773" i="4"/>
  <c r="X773" i="4"/>
  <c r="W773" i="4"/>
  <c r="U773" i="4"/>
  <c r="V773" i="4" s="1"/>
  <c r="T773" i="4"/>
  <c r="S773" i="4"/>
  <c r="L773" i="4"/>
  <c r="K773" i="4"/>
  <c r="AC772" i="4"/>
  <c r="X772" i="4"/>
  <c r="W772" i="4"/>
  <c r="U772" i="4"/>
  <c r="V772" i="4" s="1"/>
  <c r="T772" i="4"/>
  <c r="S772" i="4"/>
  <c r="L772" i="4"/>
  <c r="K772" i="4"/>
  <c r="AC771" i="4"/>
  <c r="X771" i="4"/>
  <c r="W771" i="4"/>
  <c r="V771" i="4"/>
  <c r="U771" i="4"/>
  <c r="T771" i="4"/>
  <c r="S771" i="4"/>
  <c r="L771" i="4"/>
  <c r="K771" i="4"/>
  <c r="AC770" i="4"/>
  <c r="X770" i="4"/>
  <c r="W770" i="4"/>
  <c r="U770" i="4"/>
  <c r="V770" i="4" s="1"/>
  <c r="T770" i="4"/>
  <c r="S770" i="4"/>
  <c r="L770" i="4"/>
  <c r="K770" i="4"/>
  <c r="AC769" i="4"/>
  <c r="X769" i="4"/>
  <c r="W769" i="4"/>
  <c r="V769" i="4"/>
  <c r="U769" i="4"/>
  <c r="T769" i="4"/>
  <c r="S769" i="4"/>
  <c r="L769" i="4"/>
  <c r="K769" i="4"/>
  <c r="AC768" i="4"/>
  <c r="X768" i="4"/>
  <c r="W768" i="4"/>
  <c r="U768" i="4"/>
  <c r="V768" i="4" s="1"/>
  <c r="T768" i="4"/>
  <c r="S768" i="4"/>
  <c r="L768" i="4"/>
  <c r="K768" i="4"/>
  <c r="AC767" i="4"/>
  <c r="X767" i="4"/>
  <c r="W767" i="4"/>
  <c r="U767" i="4"/>
  <c r="V767" i="4" s="1"/>
  <c r="T767" i="4"/>
  <c r="S767" i="4"/>
  <c r="L767" i="4"/>
  <c r="K767" i="4"/>
  <c r="AC766" i="4"/>
  <c r="X766" i="4"/>
  <c r="W766" i="4"/>
  <c r="V766" i="4"/>
  <c r="U766" i="4"/>
  <c r="T766" i="4"/>
  <c r="S766" i="4"/>
  <c r="L766" i="4"/>
  <c r="K766" i="4"/>
  <c r="AC765" i="4"/>
  <c r="X765" i="4"/>
  <c r="W765" i="4"/>
  <c r="U765" i="4"/>
  <c r="V765" i="4" s="1"/>
  <c r="T765" i="4"/>
  <c r="S765" i="4"/>
  <c r="L765" i="4"/>
  <c r="K765" i="4"/>
  <c r="AC764" i="4"/>
  <c r="X764" i="4"/>
  <c r="W764" i="4"/>
  <c r="V764" i="4"/>
  <c r="U764" i="4"/>
  <c r="T764" i="4"/>
  <c r="S764" i="4"/>
  <c r="L764" i="4"/>
  <c r="K764" i="4"/>
  <c r="AC763" i="4"/>
  <c r="X763" i="4"/>
  <c r="W763" i="4"/>
  <c r="U763" i="4"/>
  <c r="V763" i="4" s="1"/>
  <c r="T763" i="4"/>
  <c r="S763" i="4"/>
  <c r="L763" i="4"/>
  <c r="K763" i="4"/>
  <c r="AC762" i="4"/>
  <c r="X762" i="4"/>
  <c r="W762" i="4"/>
  <c r="U762" i="4"/>
  <c r="V762" i="4" s="1"/>
  <c r="T762" i="4"/>
  <c r="S762" i="4"/>
  <c r="L762" i="4"/>
  <c r="K762" i="4"/>
  <c r="AC761" i="4"/>
  <c r="X761" i="4"/>
  <c r="W761" i="4"/>
  <c r="V761" i="4"/>
  <c r="U761" i="4"/>
  <c r="T761" i="4"/>
  <c r="S761" i="4"/>
  <c r="L761" i="4"/>
  <c r="K761" i="4"/>
  <c r="AC760" i="4"/>
  <c r="X760" i="4"/>
  <c r="W760" i="4"/>
  <c r="V760" i="4"/>
  <c r="U760" i="4"/>
  <c r="T760" i="4"/>
  <c r="S760" i="4"/>
  <c r="L760" i="4"/>
  <c r="K760" i="4"/>
  <c r="AC759" i="4"/>
  <c r="X759" i="4"/>
  <c r="W759" i="4"/>
  <c r="V759" i="4"/>
  <c r="U759" i="4"/>
  <c r="T759" i="4"/>
  <c r="S759" i="4"/>
  <c r="L759" i="4"/>
  <c r="K759" i="4"/>
  <c r="AC758" i="4"/>
  <c r="X758" i="4"/>
  <c r="W758" i="4"/>
  <c r="U758" i="4"/>
  <c r="V758" i="4" s="1"/>
  <c r="T758" i="4"/>
  <c r="S758" i="4"/>
  <c r="L758" i="4"/>
  <c r="K758" i="4"/>
  <c r="AC757" i="4"/>
  <c r="X757" i="4"/>
  <c r="W757" i="4"/>
  <c r="U757" i="4"/>
  <c r="V757" i="4" s="1"/>
  <c r="T757" i="4"/>
  <c r="S757" i="4"/>
  <c r="L757" i="4"/>
  <c r="K757" i="4"/>
  <c r="AC756" i="4"/>
  <c r="X756" i="4"/>
  <c r="W756" i="4"/>
  <c r="V756" i="4"/>
  <c r="U756" i="4"/>
  <c r="T756" i="4"/>
  <c r="S756" i="4"/>
  <c r="L756" i="4"/>
  <c r="K756" i="4"/>
  <c r="AC755" i="4"/>
  <c r="X755" i="4"/>
  <c r="W755" i="4"/>
  <c r="V755" i="4"/>
  <c r="U755" i="4"/>
  <c r="T755" i="4"/>
  <c r="S755" i="4"/>
  <c r="L755" i="4"/>
  <c r="K755" i="4"/>
  <c r="AC754" i="4"/>
  <c r="X754" i="4"/>
  <c r="W754" i="4"/>
  <c r="U754" i="4"/>
  <c r="V754" i="4" s="1"/>
  <c r="T754" i="4"/>
  <c r="S754" i="4"/>
  <c r="L754" i="4"/>
  <c r="K754" i="4"/>
  <c r="AC753" i="4"/>
  <c r="X753" i="4"/>
  <c r="W753" i="4"/>
  <c r="V753" i="4"/>
  <c r="U753" i="4"/>
  <c r="T753" i="4"/>
  <c r="S753" i="4"/>
  <c r="P753" i="4"/>
  <c r="L753" i="4"/>
  <c r="K753" i="4"/>
  <c r="AC752" i="4"/>
  <c r="X752" i="4"/>
  <c r="W752" i="4"/>
  <c r="V752" i="4"/>
  <c r="U752" i="4"/>
  <c r="T752" i="4"/>
  <c r="S752" i="4"/>
  <c r="L752" i="4"/>
  <c r="K752" i="4"/>
  <c r="AC751" i="4"/>
  <c r="X751" i="4"/>
  <c r="W751" i="4"/>
  <c r="V751" i="4"/>
  <c r="U751" i="4"/>
  <c r="T751" i="4"/>
  <c r="S751" i="4"/>
  <c r="L751" i="4"/>
  <c r="K751" i="4"/>
  <c r="AC750" i="4"/>
  <c r="X750" i="4"/>
  <c r="W750" i="4"/>
  <c r="V750" i="4"/>
  <c r="U750" i="4"/>
  <c r="T750" i="4"/>
  <c r="S750" i="4"/>
  <c r="L750" i="4"/>
  <c r="K750" i="4"/>
  <c r="AC749" i="4"/>
  <c r="X749" i="4"/>
  <c r="W749" i="4"/>
  <c r="U749" i="4"/>
  <c r="V749" i="4" s="1"/>
  <c r="T749" i="4"/>
  <c r="S749" i="4"/>
  <c r="L749" i="4"/>
  <c r="K749" i="4"/>
  <c r="AC748" i="4"/>
  <c r="X748" i="4"/>
  <c r="W748" i="4"/>
  <c r="V748" i="4"/>
  <c r="U748" i="4"/>
  <c r="T748" i="4"/>
  <c r="S748" i="4"/>
  <c r="L748" i="4"/>
  <c r="K748" i="4"/>
  <c r="AC747" i="4"/>
  <c r="X747" i="4"/>
  <c r="W747" i="4"/>
  <c r="U747" i="4"/>
  <c r="V747" i="4" s="1"/>
  <c r="P747" i="4" s="1"/>
  <c r="T747" i="4"/>
  <c r="S747" i="4"/>
  <c r="L747" i="4"/>
  <c r="K747" i="4"/>
  <c r="AC746" i="4"/>
  <c r="X746" i="4"/>
  <c r="W746" i="4"/>
  <c r="U746" i="4"/>
  <c r="V746" i="4" s="1"/>
  <c r="T746" i="4"/>
  <c r="S746" i="4"/>
  <c r="L746" i="4"/>
  <c r="K746" i="4"/>
  <c r="AC745" i="4"/>
  <c r="X745" i="4"/>
  <c r="W745" i="4"/>
  <c r="U745" i="4"/>
  <c r="V745" i="4" s="1"/>
  <c r="T745" i="4"/>
  <c r="S745" i="4"/>
  <c r="L745" i="4"/>
  <c r="K745" i="4"/>
  <c r="AC744" i="4"/>
  <c r="X744" i="4"/>
  <c r="W744" i="4"/>
  <c r="U744" i="4"/>
  <c r="V744" i="4" s="1"/>
  <c r="T744" i="4"/>
  <c r="S744" i="4"/>
  <c r="L744" i="4"/>
  <c r="K744" i="4"/>
  <c r="AC743" i="4"/>
  <c r="X743" i="4"/>
  <c r="W743" i="4"/>
  <c r="V743" i="4"/>
  <c r="U743" i="4"/>
  <c r="T743" i="4"/>
  <c r="S743" i="4"/>
  <c r="L743" i="4"/>
  <c r="K743" i="4"/>
  <c r="AC742" i="4"/>
  <c r="X742" i="4"/>
  <c r="W742" i="4"/>
  <c r="V742" i="4"/>
  <c r="U742" i="4"/>
  <c r="T742" i="4"/>
  <c r="S742" i="4"/>
  <c r="L742" i="4"/>
  <c r="K742" i="4"/>
  <c r="AC741" i="4"/>
  <c r="X741" i="4"/>
  <c r="W741" i="4"/>
  <c r="V741" i="4"/>
  <c r="U741" i="4"/>
  <c r="T741" i="4"/>
  <c r="S741" i="4"/>
  <c r="L741" i="4"/>
  <c r="K741" i="4"/>
  <c r="AC740" i="4"/>
  <c r="X740" i="4"/>
  <c r="W740" i="4"/>
  <c r="V740" i="4"/>
  <c r="U740" i="4"/>
  <c r="T740" i="4"/>
  <c r="S740" i="4"/>
  <c r="L740" i="4"/>
  <c r="K740" i="4"/>
  <c r="AC739" i="4"/>
  <c r="X739" i="4"/>
  <c r="W739" i="4"/>
  <c r="V739" i="4"/>
  <c r="U739" i="4"/>
  <c r="T739" i="4"/>
  <c r="S739" i="4"/>
  <c r="L739" i="4"/>
  <c r="K739" i="4"/>
  <c r="AC738" i="4"/>
  <c r="X738" i="4"/>
  <c r="W738" i="4"/>
  <c r="U738" i="4"/>
  <c r="V738" i="4" s="1"/>
  <c r="T738" i="4"/>
  <c r="S738" i="4"/>
  <c r="L738" i="4"/>
  <c r="K738" i="4"/>
  <c r="AC737" i="4"/>
  <c r="X737" i="4"/>
  <c r="W737" i="4"/>
  <c r="U737" i="4"/>
  <c r="V737" i="4" s="1"/>
  <c r="T737" i="4"/>
  <c r="S737" i="4"/>
  <c r="L737" i="4"/>
  <c r="K737" i="4"/>
  <c r="AC736" i="4"/>
  <c r="X736" i="4"/>
  <c r="W736" i="4"/>
  <c r="U736" i="4"/>
  <c r="V736" i="4" s="1"/>
  <c r="P736" i="4" s="1"/>
  <c r="T736" i="4"/>
  <c r="S736" i="4"/>
  <c r="L736" i="4"/>
  <c r="K736" i="4"/>
  <c r="AC735" i="4"/>
  <c r="X735" i="4"/>
  <c r="W735" i="4"/>
  <c r="V735" i="4"/>
  <c r="U735" i="4"/>
  <c r="T735" i="4"/>
  <c r="S735" i="4"/>
  <c r="L735" i="4"/>
  <c r="K735" i="4"/>
  <c r="AC734" i="4"/>
  <c r="X734" i="4"/>
  <c r="W734" i="4"/>
  <c r="V734" i="4"/>
  <c r="U734" i="4"/>
  <c r="T734" i="4"/>
  <c r="S734" i="4"/>
  <c r="L734" i="4"/>
  <c r="K734" i="4"/>
  <c r="AC733" i="4"/>
  <c r="X733" i="4"/>
  <c r="W733" i="4"/>
  <c r="V733" i="4"/>
  <c r="U733" i="4"/>
  <c r="T733" i="4"/>
  <c r="S733" i="4"/>
  <c r="L733" i="4"/>
  <c r="K733" i="4"/>
  <c r="AC732" i="4"/>
  <c r="X732" i="4"/>
  <c r="W732" i="4"/>
  <c r="V732" i="4"/>
  <c r="U732" i="4"/>
  <c r="T732" i="4"/>
  <c r="S732" i="4"/>
  <c r="L732" i="4"/>
  <c r="K732" i="4"/>
  <c r="AC731" i="4"/>
  <c r="X731" i="4"/>
  <c r="W731" i="4"/>
  <c r="V731" i="4"/>
  <c r="U731" i="4"/>
  <c r="T731" i="4"/>
  <c r="S731" i="4"/>
  <c r="L731" i="4"/>
  <c r="K731" i="4"/>
  <c r="AC730" i="4"/>
  <c r="X730" i="4"/>
  <c r="W730" i="4"/>
  <c r="U730" i="4"/>
  <c r="V730" i="4" s="1"/>
  <c r="T730" i="4"/>
  <c r="S730" i="4"/>
  <c r="L730" i="4"/>
  <c r="K730" i="4"/>
  <c r="AC729" i="4"/>
  <c r="X729" i="4"/>
  <c r="W729" i="4"/>
  <c r="U729" i="4"/>
  <c r="V729" i="4" s="1"/>
  <c r="T729" i="4"/>
  <c r="S729" i="4"/>
  <c r="L729" i="4"/>
  <c r="K729" i="4"/>
  <c r="AC728" i="4"/>
  <c r="X728" i="4"/>
  <c r="W728" i="4"/>
  <c r="U728" i="4"/>
  <c r="V728" i="4" s="1"/>
  <c r="T728" i="4"/>
  <c r="S728" i="4"/>
  <c r="L728" i="4"/>
  <c r="K728" i="4"/>
  <c r="AC727" i="4"/>
  <c r="X727" i="4"/>
  <c r="W727" i="4"/>
  <c r="V727" i="4"/>
  <c r="U727" i="4"/>
  <c r="T727" i="4"/>
  <c r="S727" i="4"/>
  <c r="L727" i="4"/>
  <c r="K727" i="4"/>
  <c r="AC726" i="4"/>
  <c r="X726" i="4"/>
  <c r="W726" i="4"/>
  <c r="V726" i="4"/>
  <c r="U726" i="4"/>
  <c r="T726" i="4"/>
  <c r="S726" i="4"/>
  <c r="L726" i="4"/>
  <c r="K726" i="4"/>
  <c r="AC725" i="4"/>
  <c r="X725" i="4"/>
  <c r="W725" i="4"/>
  <c r="U725" i="4"/>
  <c r="V725" i="4" s="1"/>
  <c r="T725" i="4"/>
  <c r="S725" i="4"/>
  <c r="L725" i="4"/>
  <c r="K725" i="4"/>
  <c r="AC724" i="4"/>
  <c r="X724" i="4"/>
  <c r="W724" i="4"/>
  <c r="U724" i="4"/>
  <c r="V724" i="4" s="1"/>
  <c r="T724" i="4"/>
  <c r="S724" i="4"/>
  <c r="L724" i="4"/>
  <c r="K724" i="4"/>
  <c r="AC723" i="4"/>
  <c r="X723" i="4"/>
  <c r="W723" i="4"/>
  <c r="V723" i="4"/>
  <c r="U723" i="4"/>
  <c r="T723" i="4"/>
  <c r="S723" i="4"/>
  <c r="L723" i="4"/>
  <c r="K723" i="4"/>
  <c r="AC722" i="4"/>
  <c r="X722" i="4"/>
  <c r="W722" i="4"/>
  <c r="U722" i="4"/>
  <c r="V722" i="4" s="1"/>
  <c r="T722" i="4"/>
  <c r="S722" i="4"/>
  <c r="L722" i="4"/>
  <c r="K722" i="4"/>
  <c r="AC721" i="4"/>
  <c r="X721" i="4"/>
  <c r="W721" i="4"/>
  <c r="U721" i="4"/>
  <c r="V721" i="4" s="1"/>
  <c r="T721" i="4"/>
  <c r="S721" i="4"/>
  <c r="L721" i="4"/>
  <c r="K721" i="4"/>
  <c r="AC720" i="4"/>
  <c r="X720" i="4"/>
  <c r="W720" i="4"/>
  <c r="U720" i="4"/>
  <c r="V720" i="4" s="1"/>
  <c r="T720" i="4"/>
  <c r="S720" i="4"/>
  <c r="L720" i="4"/>
  <c r="K720" i="4"/>
  <c r="AC719" i="4"/>
  <c r="X719" i="4"/>
  <c r="W719" i="4"/>
  <c r="V719" i="4"/>
  <c r="U719" i="4"/>
  <c r="T719" i="4"/>
  <c r="S719" i="4"/>
  <c r="L719" i="4"/>
  <c r="K719" i="4"/>
  <c r="AC718" i="4"/>
  <c r="X718" i="4"/>
  <c r="W718" i="4"/>
  <c r="V718" i="4"/>
  <c r="U718" i="4"/>
  <c r="T718" i="4"/>
  <c r="S718" i="4"/>
  <c r="L718" i="4"/>
  <c r="K718" i="4"/>
  <c r="AC717" i="4"/>
  <c r="X717" i="4"/>
  <c r="W717" i="4"/>
  <c r="U717" i="4"/>
  <c r="V717" i="4" s="1"/>
  <c r="P717" i="4" s="1"/>
  <c r="T717" i="4"/>
  <c r="S717" i="4"/>
  <c r="L717" i="4"/>
  <c r="K717" i="4"/>
  <c r="AC716" i="4"/>
  <c r="X716" i="4"/>
  <c r="W716" i="4"/>
  <c r="U716" i="4"/>
  <c r="V716" i="4" s="1"/>
  <c r="T716" i="4"/>
  <c r="S716" i="4"/>
  <c r="L716" i="4"/>
  <c r="K716" i="4"/>
  <c r="AC715" i="4"/>
  <c r="X715" i="4"/>
  <c r="W715" i="4"/>
  <c r="U715" i="4"/>
  <c r="V715" i="4" s="1"/>
  <c r="T715" i="4"/>
  <c r="S715" i="4"/>
  <c r="L715" i="4"/>
  <c r="K715" i="4"/>
  <c r="AC714" i="4"/>
  <c r="X714" i="4"/>
  <c r="W714" i="4"/>
  <c r="U714" i="4"/>
  <c r="V714" i="4" s="1"/>
  <c r="T714" i="4"/>
  <c r="S714" i="4"/>
  <c r="L714" i="4"/>
  <c r="K714" i="4"/>
  <c r="AC713" i="4"/>
  <c r="X713" i="4"/>
  <c r="W713" i="4"/>
  <c r="U713" i="4"/>
  <c r="V713" i="4" s="1"/>
  <c r="P713" i="4" s="1"/>
  <c r="T713" i="4"/>
  <c r="S713" i="4"/>
  <c r="L713" i="4"/>
  <c r="K713" i="4"/>
  <c r="AC712" i="4"/>
  <c r="X712" i="4"/>
  <c r="W712" i="4"/>
  <c r="U712" i="4"/>
  <c r="V712" i="4" s="1"/>
  <c r="T712" i="4"/>
  <c r="S712" i="4"/>
  <c r="L712" i="4"/>
  <c r="K712" i="4"/>
  <c r="AC711" i="4"/>
  <c r="X711" i="4"/>
  <c r="W711" i="4"/>
  <c r="V711" i="4"/>
  <c r="P711" i="4" s="1"/>
  <c r="U711" i="4"/>
  <c r="T711" i="4"/>
  <c r="S711" i="4"/>
  <c r="L711" i="4"/>
  <c r="K711" i="4"/>
  <c r="AC710" i="4"/>
  <c r="X710" i="4"/>
  <c r="W710" i="4"/>
  <c r="V710" i="4"/>
  <c r="U710" i="4"/>
  <c r="T710" i="4"/>
  <c r="S710" i="4"/>
  <c r="L710" i="4"/>
  <c r="K710" i="4"/>
  <c r="AC709" i="4"/>
  <c r="X709" i="4"/>
  <c r="W709" i="4"/>
  <c r="V709" i="4"/>
  <c r="P703" i="4" s="1"/>
  <c r="U709" i="4"/>
  <c r="T709" i="4"/>
  <c r="S709" i="4"/>
  <c r="L709" i="4"/>
  <c r="K709" i="4"/>
  <c r="AC708" i="4"/>
  <c r="X708" i="4"/>
  <c r="W708" i="4"/>
  <c r="U708" i="4"/>
  <c r="V708" i="4" s="1"/>
  <c r="T708" i="4"/>
  <c r="S708" i="4"/>
  <c r="L708" i="4"/>
  <c r="K708" i="4"/>
  <c r="AC707" i="4"/>
  <c r="X707" i="4"/>
  <c r="W707" i="4"/>
  <c r="V707" i="4"/>
  <c r="U707" i="4"/>
  <c r="T707" i="4"/>
  <c r="S707" i="4"/>
  <c r="L707" i="4"/>
  <c r="K707" i="4"/>
  <c r="AC706" i="4"/>
  <c r="X706" i="4"/>
  <c r="W706" i="4"/>
  <c r="U706" i="4"/>
  <c r="V706" i="4" s="1"/>
  <c r="T706" i="4"/>
  <c r="S706" i="4"/>
  <c r="L706" i="4"/>
  <c r="K706" i="4"/>
  <c r="AC705" i="4"/>
  <c r="X705" i="4"/>
  <c r="W705" i="4"/>
  <c r="U705" i="4"/>
  <c r="V705" i="4" s="1"/>
  <c r="T705" i="4"/>
  <c r="S705" i="4"/>
  <c r="L705" i="4"/>
  <c r="K705" i="4"/>
  <c r="AC704" i="4"/>
  <c r="X704" i="4"/>
  <c r="W704" i="4"/>
  <c r="U704" i="4"/>
  <c r="V704" i="4" s="1"/>
  <c r="T704" i="4"/>
  <c r="S704" i="4"/>
  <c r="L704" i="4"/>
  <c r="K704" i="4"/>
  <c r="AC703" i="4"/>
  <c r="X703" i="4"/>
  <c r="W703" i="4"/>
  <c r="U703" i="4"/>
  <c r="V703" i="4" s="1"/>
  <c r="T703" i="4"/>
  <c r="S703" i="4"/>
  <c r="L703" i="4"/>
  <c r="K703" i="4"/>
  <c r="AC702" i="4"/>
  <c r="X702" i="4"/>
  <c r="W702" i="4"/>
  <c r="V702" i="4"/>
  <c r="U702" i="4"/>
  <c r="T702" i="4"/>
  <c r="S702" i="4"/>
  <c r="L702" i="4"/>
  <c r="K702" i="4"/>
  <c r="AC701" i="4"/>
  <c r="X701" i="4"/>
  <c r="W701" i="4"/>
  <c r="U701" i="4"/>
  <c r="V701" i="4" s="1"/>
  <c r="T701" i="4"/>
  <c r="S701" i="4"/>
  <c r="L701" i="4"/>
  <c r="K701" i="4"/>
  <c r="AC700" i="4"/>
  <c r="X700" i="4"/>
  <c r="W700" i="4"/>
  <c r="U700" i="4"/>
  <c r="V700" i="4" s="1"/>
  <c r="T700" i="4"/>
  <c r="S700" i="4"/>
  <c r="L700" i="4"/>
  <c r="K700" i="4"/>
  <c r="AC699" i="4"/>
  <c r="X699" i="4"/>
  <c r="W699" i="4"/>
  <c r="U699" i="4"/>
  <c r="V699" i="4" s="1"/>
  <c r="T699" i="4"/>
  <c r="S699" i="4"/>
  <c r="L699" i="4"/>
  <c r="K699" i="4"/>
  <c r="AC698" i="4"/>
  <c r="X698" i="4"/>
  <c r="W698" i="4"/>
  <c r="U698" i="4"/>
  <c r="V698" i="4" s="1"/>
  <c r="T698" i="4"/>
  <c r="S698" i="4"/>
  <c r="L698" i="4"/>
  <c r="K698" i="4"/>
  <c r="AC697" i="4"/>
  <c r="X697" i="4"/>
  <c r="W697" i="4"/>
  <c r="U697" i="4"/>
  <c r="V697" i="4" s="1"/>
  <c r="T697" i="4"/>
  <c r="S697" i="4"/>
  <c r="L697" i="4"/>
  <c r="K697" i="4"/>
  <c r="AC696" i="4"/>
  <c r="X696" i="4"/>
  <c r="W696" i="4"/>
  <c r="U696" i="4"/>
  <c r="V696" i="4" s="1"/>
  <c r="T696" i="4"/>
  <c r="S696" i="4"/>
  <c r="L696" i="4"/>
  <c r="K696" i="4"/>
  <c r="AC695" i="4"/>
  <c r="X695" i="4"/>
  <c r="W695" i="4"/>
  <c r="V695" i="4"/>
  <c r="U695" i="4"/>
  <c r="T695" i="4"/>
  <c r="S695" i="4"/>
  <c r="L695" i="4"/>
  <c r="K695" i="4"/>
  <c r="AC694" i="4"/>
  <c r="X694" i="4"/>
  <c r="W694" i="4"/>
  <c r="V694" i="4"/>
  <c r="U694" i="4"/>
  <c r="T694" i="4"/>
  <c r="S694" i="4"/>
  <c r="L694" i="4"/>
  <c r="K694" i="4"/>
  <c r="AC693" i="4"/>
  <c r="X693" i="4"/>
  <c r="W693" i="4"/>
  <c r="V693" i="4"/>
  <c r="U693" i="4"/>
  <c r="T693" i="4"/>
  <c r="S693" i="4"/>
  <c r="L693" i="4"/>
  <c r="K693" i="4"/>
  <c r="AC692" i="4"/>
  <c r="X692" i="4"/>
  <c r="W692" i="4"/>
  <c r="U692" i="4"/>
  <c r="V692" i="4" s="1"/>
  <c r="T692" i="4"/>
  <c r="S692" i="4"/>
  <c r="L692" i="4"/>
  <c r="K692" i="4"/>
  <c r="AC691" i="4"/>
  <c r="X691" i="4"/>
  <c r="W691" i="4"/>
  <c r="V691" i="4"/>
  <c r="U691" i="4"/>
  <c r="T691" i="4"/>
  <c r="S691" i="4"/>
  <c r="L691" i="4"/>
  <c r="K691" i="4"/>
  <c r="AC690" i="4"/>
  <c r="X690" i="4"/>
  <c r="W690" i="4"/>
  <c r="U690" i="4"/>
  <c r="V690" i="4" s="1"/>
  <c r="T690" i="4"/>
  <c r="S690" i="4"/>
  <c r="L690" i="4"/>
  <c r="K690" i="4"/>
  <c r="AC689" i="4"/>
  <c r="X689" i="4"/>
  <c r="W689" i="4"/>
  <c r="U689" i="4"/>
  <c r="V689" i="4" s="1"/>
  <c r="T689" i="4"/>
  <c r="S689" i="4"/>
  <c r="L689" i="4"/>
  <c r="K689" i="4"/>
  <c r="AC688" i="4"/>
  <c r="X688" i="4"/>
  <c r="W688" i="4"/>
  <c r="U688" i="4"/>
  <c r="V688" i="4" s="1"/>
  <c r="T688" i="4"/>
  <c r="S688" i="4"/>
  <c r="L688" i="4"/>
  <c r="K688" i="4"/>
  <c r="AC687" i="4"/>
  <c r="X687" i="4"/>
  <c r="W687" i="4"/>
  <c r="U687" i="4"/>
  <c r="V687" i="4" s="1"/>
  <c r="T687" i="4"/>
  <c r="S687" i="4"/>
  <c r="P687" i="4"/>
  <c r="L687" i="4"/>
  <c r="K687" i="4"/>
  <c r="AC686" i="4"/>
  <c r="X686" i="4"/>
  <c r="W686" i="4"/>
  <c r="U686" i="4"/>
  <c r="V686" i="4" s="1"/>
  <c r="T686" i="4"/>
  <c r="S686" i="4"/>
  <c r="L686" i="4"/>
  <c r="K686" i="4"/>
  <c r="AC685" i="4"/>
  <c r="X685" i="4"/>
  <c r="W685" i="4"/>
  <c r="U685" i="4"/>
  <c r="V685" i="4" s="1"/>
  <c r="T685" i="4"/>
  <c r="S685" i="4"/>
  <c r="L685" i="4"/>
  <c r="K685" i="4"/>
  <c r="AC684" i="4"/>
  <c r="X684" i="4"/>
  <c r="W684" i="4"/>
  <c r="U684" i="4"/>
  <c r="V684" i="4" s="1"/>
  <c r="T684" i="4"/>
  <c r="S684" i="4"/>
  <c r="L684" i="4"/>
  <c r="K684" i="4"/>
  <c r="AC683" i="4"/>
  <c r="X683" i="4"/>
  <c r="W683" i="4"/>
  <c r="V683" i="4"/>
  <c r="U683" i="4"/>
  <c r="T683" i="4"/>
  <c r="S683" i="4"/>
  <c r="L683" i="4"/>
  <c r="K683" i="4"/>
  <c r="AC682" i="4"/>
  <c r="X682" i="4"/>
  <c r="W682" i="4"/>
  <c r="U682" i="4"/>
  <c r="V682" i="4" s="1"/>
  <c r="T682" i="4"/>
  <c r="S682" i="4"/>
  <c r="L682" i="4"/>
  <c r="K682" i="4"/>
  <c r="AC681" i="4"/>
  <c r="X681" i="4"/>
  <c r="W681" i="4"/>
  <c r="U681" i="4"/>
  <c r="V681" i="4" s="1"/>
  <c r="T681" i="4"/>
  <c r="S681" i="4"/>
  <c r="L681" i="4"/>
  <c r="K681" i="4"/>
  <c r="AC680" i="4"/>
  <c r="X680" i="4"/>
  <c r="W680" i="4"/>
  <c r="U680" i="4"/>
  <c r="V680" i="4" s="1"/>
  <c r="T680" i="4"/>
  <c r="S680" i="4"/>
  <c r="L680" i="4"/>
  <c r="K680" i="4"/>
  <c r="AC679" i="4"/>
  <c r="X679" i="4"/>
  <c r="W679" i="4"/>
  <c r="V679" i="4"/>
  <c r="U679" i="4"/>
  <c r="T679" i="4"/>
  <c r="S679" i="4"/>
  <c r="L679" i="4"/>
  <c r="K679" i="4"/>
  <c r="AC678" i="4"/>
  <c r="X678" i="4"/>
  <c r="W678" i="4"/>
  <c r="V678" i="4"/>
  <c r="U678" i="4"/>
  <c r="T678" i="4"/>
  <c r="S678" i="4"/>
  <c r="L678" i="4"/>
  <c r="K678" i="4"/>
  <c r="AC677" i="4"/>
  <c r="X677" i="4"/>
  <c r="W677" i="4"/>
  <c r="V677" i="4"/>
  <c r="U677" i="4"/>
  <c r="T677" i="4"/>
  <c r="S677" i="4"/>
  <c r="L677" i="4"/>
  <c r="K677" i="4"/>
  <c r="AC676" i="4"/>
  <c r="X676" i="4"/>
  <c r="W676" i="4"/>
  <c r="U676" i="4"/>
  <c r="V676" i="4" s="1"/>
  <c r="T676" i="4"/>
  <c r="S676" i="4"/>
  <c r="L676" i="4"/>
  <c r="K676" i="4"/>
  <c r="AC675" i="4"/>
  <c r="X675" i="4"/>
  <c r="W675" i="4"/>
  <c r="V675" i="4"/>
  <c r="U675" i="4"/>
  <c r="T675" i="4"/>
  <c r="S675" i="4"/>
  <c r="L675" i="4"/>
  <c r="K675" i="4"/>
  <c r="AC674" i="4"/>
  <c r="X674" i="4"/>
  <c r="W674" i="4"/>
  <c r="U674" i="4"/>
  <c r="V674" i="4" s="1"/>
  <c r="T674" i="4"/>
  <c r="S674" i="4"/>
  <c r="L674" i="4"/>
  <c r="K674" i="4"/>
  <c r="AC673" i="4"/>
  <c r="X673" i="4"/>
  <c r="W673" i="4"/>
  <c r="V673" i="4"/>
  <c r="U673" i="4"/>
  <c r="T673" i="4"/>
  <c r="S673" i="4"/>
  <c r="L673" i="4"/>
  <c r="K673" i="4"/>
  <c r="AC672" i="4"/>
  <c r="X672" i="4"/>
  <c r="W672" i="4"/>
  <c r="U672" i="4"/>
  <c r="V672" i="4" s="1"/>
  <c r="T672" i="4"/>
  <c r="S672" i="4"/>
  <c r="L672" i="4"/>
  <c r="K672" i="4"/>
  <c r="AC671" i="4"/>
  <c r="X671" i="4"/>
  <c r="W671" i="4"/>
  <c r="V671" i="4"/>
  <c r="U671" i="4"/>
  <c r="T671" i="4"/>
  <c r="S671" i="4"/>
  <c r="L671" i="4"/>
  <c r="K671" i="4"/>
  <c r="AC670" i="4"/>
  <c r="X670" i="4"/>
  <c r="W670" i="4"/>
  <c r="U670" i="4"/>
  <c r="V670" i="4" s="1"/>
  <c r="T670" i="4"/>
  <c r="S670" i="4"/>
  <c r="L670" i="4"/>
  <c r="K670" i="4"/>
  <c r="AC669" i="4"/>
  <c r="X669" i="4"/>
  <c r="W669" i="4"/>
  <c r="V669" i="4"/>
  <c r="U669" i="4"/>
  <c r="T669" i="4"/>
  <c r="S669" i="4"/>
  <c r="L669" i="4"/>
  <c r="K669" i="4"/>
  <c r="AC668" i="4"/>
  <c r="X668" i="4"/>
  <c r="W668" i="4"/>
  <c r="U668" i="4"/>
  <c r="V668" i="4" s="1"/>
  <c r="T668" i="4"/>
  <c r="S668" i="4"/>
  <c r="L668" i="4"/>
  <c r="K668" i="4"/>
  <c r="AC667" i="4"/>
  <c r="X667" i="4"/>
  <c r="W667" i="4"/>
  <c r="U667" i="4"/>
  <c r="V667" i="4" s="1"/>
  <c r="T667" i="4"/>
  <c r="S667" i="4"/>
  <c r="L667" i="4"/>
  <c r="K667" i="4"/>
  <c r="AC666" i="4"/>
  <c r="X666" i="4"/>
  <c r="W666" i="4"/>
  <c r="U666" i="4"/>
  <c r="V666" i="4" s="1"/>
  <c r="T666" i="4"/>
  <c r="S666" i="4"/>
  <c r="L666" i="4"/>
  <c r="K666" i="4"/>
  <c r="AC665" i="4"/>
  <c r="X665" i="4"/>
  <c r="W665" i="4"/>
  <c r="U665" i="4"/>
  <c r="V665" i="4" s="1"/>
  <c r="T665" i="4"/>
  <c r="S665" i="4"/>
  <c r="L665" i="4"/>
  <c r="K665" i="4"/>
  <c r="AC664" i="4"/>
  <c r="X664" i="4"/>
  <c r="W664" i="4"/>
  <c r="U664" i="4"/>
  <c r="V664" i="4" s="1"/>
  <c r="T664" i="4"/>
  <c r="S664" i="4"/>
  <c r="L664" i="4"/>
  <c r="K664" i="4"/>
  <c r="AC663" i="4"/>
  <c r="X663" i="4"/>
  <c r="W663" i="4"/>
  <c r="U663" i="4"/>
  <c r="V663" i="4" s="1"/>
  <c r="T663" i="4"/>
  <c r="S663" i="4"/>
  <c r="L663" i="4"/>
  <c r="K663" i="4"/>
  <c r="AC662" i="4"/>
  <c r="X662" i="4"/>
  <c r="W662" i="4"/>
  <c r="U662" i="4"/>
  <c r="V662" i="4" s="1"/>
  <c r="T662" i="4"/>
  <c r="S662" i="4"/>
  <c r="L662" i="4"/>
  <c r="K662" i="4"/>
  <c r="AC661" i="4"/>
  <c r="X661" i="4"/>
  <c r="W661" i="4"/>
  <c r="V661" i="4"/>
  <c r="U661" i="4"/>
  <c r="T661" i="4"/>
  <c r="S661" i="4"/>
  <c r="L661" i="4"/>
  <c r="K661" i="4"/>
  <c r="AC660" i="4"/>
  <c r="X660" i="4"/>
  <c r="W660" i="4"/>
  <c r="U660" i="4"/>
  <c r="V660" i="4" s="1"/>
  <c r="T660" i="4"/>
  <c r="S660" i="4"/>
  <c r="L660" i="4"/>
  <c r="K660" i="4"/>
  <c r="AC659" i="4"/>
  <c r="X659" i="4"/>
  <c r="W659" i="4"/>
  <c r="U659" i="4"/>
  <c r="V659" i="4" s="1"/>
  <c r="T659" i="4"/>
  <c r="S659" i="4"/>
  <c r="L659" i="4"/>
  <c r="K659" i="4"/>
  <c r="AC658" i="4"/>
  <c r="X658" i="4"/>
  <c r="W658" i="4"/>
  <c r="U658" i="4"/>
  <c r="V658" i="4" s="1"/>
  <c r="T658" i="4"/>
  <c r="S658" i="4"/>
  <c r="L658" i="4"/>
  <c r="K658" i="4"/>
  <c r="AC657" i="4"/>
  <c r="X657" i="4"/>
  <c r="W657" i="4"/>
  <c r="U657" i="4"/>
  <c r="V657" i="4" s="1"/>
  <c r="T657" i="4"/>
  <c r="S657" i="4"/>
  <c r="L657" i="4"/>
  <c r="K657" i="4"/>
  <c r="AC656" i="4"/>
  <c r="X656" i="4"/>
  <c r="W656" i="4"/>
  <c r="U656" i="4"/>
  <c r="V656" i="4" s="1"/>
  <c r="T656" i="4"/>
  <c r="S656" i="4"/>
  <c r="L656" i="4"/>
  <c r="K656" i="4"/>
  <c r="AC655" i="4"/>
  <c r="X655" i="4"/>
  <c r="W655" i="4"/>
  <c r="U655" i="4"/>
  <c r="V655" i="4" s="1"/>
  <c r="T655" i="4"/>
  <c r="S655" i="4"/>
  <c r="L655" i="4"/>
  <c r="K655" i="4"/>
  <c r="AC654" i="4"/>
  <c r="X654" i="4"/>
  <c r="W654" i="4"/>
  <c r="V654" i="4"/>
  <c r="U654" i="4"/>
  <c r="T654" i="4"/>
  <c r="S654" i="4"/>
  <c r="L654" i="4"/>
  <c r="K654" i="4"/>
  <c r="AC653" i="4"/>
  <c r="X653" i="4"/>
  <c r="W653" i="4"/>
  <c r="U653" i="4"/>
  <c r="V653" i="4" s="1"/>
  <c r="T653" i="4"/>
  <c r="S653" i="4"/>
  <c r="L653" i="4"/>
  <c r="K653" i="4"/>
  <c r="AC652" i="4"/>
  <c r="X652" i="4"/>
  <c r="W652" i="4"/>
  <c r="U652" i="4"/>
  <c r="V652" i="4" s="1"/>
  <c r="T652" i="4"/>
  <c r="S652" i="4"/>
  <c r="L652" i="4"/>
  <c r="K652" i="4"/>
  <c r="AC651" i="4"/>
  <c r="X651" i="4"/>
  <c r="W651" i="4"/>
  <c r="V651" i="4"/>
  <c r="U651" i="4"/>
  <c r="T651" i="4"/>
  <c r="S651" i="4"/>
  <c r="L651" i="4"/>
  <c r="K651" i="4"/>
  <c r="AC650" i="4"/>
  <c r="X650" i="4"/>
  <c r="W650" i="4"/>
  <c r="U650" i="4"/>
  <c r="V650" i="4" s="1"/>
  <c r="T650" i="4"/>
  <c r="S650" i="4"/>
  <c r="L650" i="4"/>
  <c r="K650" i="4"/>
  <c r="AC649" i="4"/>
  <c r="X649" i="4"/>
  <c r="W649" i="4"/>
  <c r="V649" i="4"/>
  <c r="U649" i="4"/>
  <c r="T649" i="4"/>
  <c r="S649" i="4"/>
  <c r="L649" i="4"/>
  <c r="K649" i="4"/>
  <c r="AC648" i="4"/>
  <c r="X648" i="4"/>
  <c r="W648" i="4"/>
  <c r="U648" i="4"/>
  <c r="V648" i="4" s="1"/>
  <c r="T648" i="4"/>
  <c r="S648" i="4"/>
  <c r="L648" i="4"/>
  <c r="K648" i="4"/>
  <c r="AC647" i="4"/>
  <c r="X647" i="4"/>
  <c r="W647" i="4"/>
  <c r="V647" i="4"/>
  <c r="U647" i="4"/>
  <c r="T647" i="4"/>
  <c r="S647" i="4"/>
  <c r="L647" i="4"/>
  <c r="K647" i="4"/>
  <c r="AC646" i="4"/>
  <c r="X646" i="4"/>
  <c r="W646" i="4"/>
  <c r="U646" i="4"/>
  <c r="V646" i="4" s="1"/>
  <c r="T646" i="4"/>
  <c r="S646" i="4"/>
  <c r="L646" i="4"/>
  <c r="K646" i="4"/>
  <c r="AC645" i="4"/>
  <c r="X645" i="4"/>
  <c r="W645" i="4"/>
  <c r="U645" i="4"/>
  <c r="V645" i="4" s="1"/>
  <c r="T645" i="4"/>
  <c r="S645" i="4"/>
  <c r="L645" i="4"/>
  <c r="K645" i="4"/>
  <c r="AC644" i="4"/>
  <c r="X644" i="4"/>
  <c r="W644" i="4"/>
  <c r="U644" i="4"/>
  <c r="V644" i="4" s="1"/>
  <c r="T644" i="4"/>
  <c r="S644" i="4"/>
  <c r="L644" i="4"/>
  <c r="K644" i="4"/>
  <c r="AC643" i="4"/>
  <c r="X643" i="4"/>
  <c r="W643" i="4"/>
  <c r="U643" i="4"/>
  <c r="V643" i="4" s="1"/>
  <c r="T643" i="4"/>
  <c r="S643" i="4"/>
  <c r="L643" i="4"/>
  <c r="K643" i="4"/>
  <c r="AC642" i="4"/>
  <c r="X642" i="4"/>
  <c r="W642" i="4"/>
  <c r="U642" i="4"/>
  <c r="V642" i="4" s="1"/>
  <c r="T642" i="4"/>
  <c r="S642" i="4"/>
  <c r="L642" i="4"/>
  <c r="K642" i="4"/>
  <c r="AC641" i="4"/>
  <c r="X641" i="4"/>
  <c r="W641" i="4"/>
  <c r="U641" i="4"/>
  <c r="V641" i="4" s="1"/>
  <c r="T641" i="4"/>
  <c r="S641" i="4"/>
  <c r="L641" i="4"/>
  <c r="K641" i="4"/>
  <c r="AC640" i="4"/>
  <c r="X640" i="4"/>
  <c r="W640" i="4"/>
  <c r="U640" i="4"/>
  <c r="V640" i="4" s="1"/>
  <c r="T640" i="4"/>
  <c r="S640" i="4"/>
  <c r="L640" i="4"/>
  <c r="K640" i="4"/>
  <c r="AC639" i="4"/>
  <c r="X639" i="4"/>
  <c r="W639" i="4"/>
  <c r="U639" i="4"/>
  <c r="V639" i="4" s="1"/>
  <c r="T639" i="4"/>
  <c r="S639" i="4"/>
  <c r="L639" i="4"/>
  <c r="K639" i="4"/>
  <c r="AC638" i="4"/>
  <c r="X638" i="4"/>
  <c r="W638" i="4"/>
  <c r="V638" i="4"/>
  <c r="U638" i="4"/>
  <c r="T638" i="4"/>
  <c r="S638" i="4"/>
  <c r="L638" i="4"/>
  <c r="K638" i="4"/>
  <c r="AC637" i="4"/>
  <c r="X637" i="4"/>
  <c r="W637" i="4"/>
  <c r="V637" i="4"/>
  <c r="U637" i="4"/>
  <c r="T637" i="4"/>
  <c r="S637" i="4"/>
  <c r="L637" i="4"/>
  <c r="K637" i="4"/>
  <c r="AC636" i="4"/>
  <c r="X636" i="4"/>
  <c r="W636" i="4"/>
  <c r="U636" i="4"/>
  <c r="V636" i="4" s="1"/>
  <c r="T636" i="4"/>
  <c r="S636" i="4"/>
  <c r="L636" i="4"/>
  <c r="K636" i="4"/>
  <c r="AC635" i="4"/>
  <c r="X635" i="4"/>
  <c r="W635" i="4"/>
  <c r="V635" i="4"/>
  <c r="U635" i="4"/>
  <c r="T635" i="4"/>
  <c r="S635" i="4"/>
  <c r="L635" i="4"/>
  <c r="K635" i="4"/>
  <c r="AC634" i="4"/>
  <c r="X634" i="4"/>
  <c r="W634" i="4"/>
  <c r="U634" i="4"/>
  <c r="V634" i="4" s="1"/>
  <c r="T634" i="4"/>
  <c r="S634" i="4"/>
  <c r="L634" i="4"/>
  <c r="K634" i="4"/>
  <c r="AC633" i="4"/>
  <c r="X633" i="4"/>
  <c r="W633" i="4"/>
  <c r="U633" i="4"/>
  <c r="V633" i="4" s="1"/>
  <c r="T633" i="4"/>
  <c r="S633" i="4"/>
  <c r="L633" i="4"/>
  <c r="K633" i="4"/>
  <c r="AC632" i="4"/>
  <c r="X632" i="4"/>
  <c r="W632" i="4"/>
  <c r="U632" i="4"/>
  <c r="V632" i="4" s="1"/>
  <c r="T632" i="4"/>
  <c r="S632" i="4"/>
  <c r="L632" i="4"/>
  <c r="K632" i="4"/>
  <c r="AC631" i="4"/>
  <c r="X631" i="4"/>
  <c r="W631" i="4"/>
  <c r="V631" i="4"/>
  <c r="U631" i="4"/>
  <c r="T631" i="4"/>
  <c r="S631" i="4"/>
  <c r="L631" i="4"/>
  <c r="K631" i="4"/>
  <c r="AC630" i="4"/>
  <c r="X630" i="4"/>
  <c r="W630" i="4"/>
  <c r="V630" i="4"/>
  <c r="U630" i="4"/>
  <c r="T630" i="4"/>
  <c r="S630" i="4"/>
  <c r="L630" i="4"/>
  <c r="K630" i="4"/>
  <c r="AC629" i="4"/>
  <c r="X629" i="4"/>
  <c r="W629" i="4"/>
  <c r="U629" i="4"/>
  <c r="V629" i="4" s="1"/>
  <c r="P629" i="4" s="1"/>
  <c r="T629" i="4"/>
  <c r="S629" i="4"/>
  <c r="L629" i="4"/>
  <c r="K629" i="4"/>
  <c r="AC628" i="4"/>
  <c r="X628" i="4"/>
  <c r="W628" i="4"/>
  <c r="U628" i="4"/>
  <c r="V628" i="4" s="1"/>
  <c r="T628" i="4"/>
  <c r="S628" i="4"/>
  <c r="L628" i="4"/>
  <c r="K628" i="4"/>
  <c r="AC627" i="4"/>
  <c r="X627" i="4"/>
  <c r="W627" i="4"/>
  <c r="U627" i="4"/>
  <c r="V627" i="4" s="1"/>
  <c r="T627" i="4"/>
  <c r="S627" i="4"/>
  <c r="L627" i="4"/>
  <c r="K627" i="4"/>
  <c r="AC626" i="4"/>
  <c r="X626" i="4"/>
  <c r="W626" i="4"/>
  <c r="U626" i="4"/>
  <c r="V626" i="4" s="1"/>
  <c r="T626" i="4"/>
  <c r="S626" i="4"/>
  <c r="L626" i="4"/>
  <c r="K626" i="4"/>
  <c r="AC625" i="4"/>
  <c r="X625" i="4"/>
  <c r="W625" i="4"/>
  <c r="V625" i="4"/>
  <c r="U625" i="4"/>
  <c r="T625" i="4"/>
  <c r="S625" i="4"/>
  <c r="L625" i="4"/>
  <c r="K625" i="4"/>
  <c r="AC624" i="4"/>
  <c r="X624" i="4"/>
  <c r="W624" i="4"/>
  <c r="U624" i="4"/>
  <c r="V624" i="4" s="1"/>
  <c r="T624" i="4"/>
  <c r="S624" i="4"/>
  <c r="L624" i="4"/>
  <c r="K624" i="4"/>
  <c r="AC623" i="4"/>
  <c r="X623" i="4"/>
  <c r="W623" i="4"/>
  <c r="V623" i="4"/>
  <c r="U623" i="4"/>
  <c r="T623" i="4"/>
  <c r="S623" i="4"/>
  <c r="L623" i="4"/>
  <c r="K623" i="4"/>
  <c r="AC622" i="4"/>
  <c r="X622" i="4"/>
  <c r="W622" i="4"/>
  <c r="V622" i="4"/>
  <c r="U622" i="4"/>
  <c r="T622" i="4"/>
  <c r="S622" i="4"/>
  <c r="L622" i="4"/>
  <c r="K622" i="4"/>
  <c r="AC621" i="4"/>
  <c r="X621" i="4"/>
  <c r="W621" i="4"/>
  <c r="U621" i="4"/>
  <c r="V621" i="4" s="1"/>
  <c r="T621" i="4"/>
  <c r="S621" i="4"/>
  <c r="L621" i="4"/>
  <c r="K621" i="4"/>
  <c r="AC620" i="4"/>
  <c r="X620" i="4"/>
  <c r="W620" i="4"/>
  <c r="U620" i="4"/>
  <c r="V620" i="4" s="1"/>
  <c r="T620" i="4"/>
  <c r="S620" i="4"/>
  <c r="L620" i="4"/>
  <c r="K620" i="4"/>
  <c r="AC619" i="4"/>
  <c r="X619" i="4"/>
  <c r="W619" i="4"/>
  <c r="U619" i="4"/>
  <c r="V619" i="4" s="1"/>
  <c r="T619" i="4"/>
  <c r="S619" i="4"/>
  <c r="L619" i="4"/>
  <c r="K619" i="4"/>
  <c r="AC618" i="4"/>
  <c r="X618" i="4"/>
  <c r="W618" i="4"/>
  <c r="U618" i="4"/>
  <c r="V618" i="4" s="1"/>
  <c r="T618" i="4"/>
  <c r="S618" i="4"/>
  <c r="L618" i="4"/>
  <c r="K618" i="4"/>
  <c r="AC617" i="4"/>
  <c r="X617" i="4"/>
  <c r="W617" i="4"/>
  <c r="U617" i="4"/>
  <c r="V617" i="4" s="1"/>
  <c r="T617" i="4"/>
  <c r="S617" i="4"/>
  <c r="L617" i="4"/>
  <c r="K617" i="4"/>
  <c r="AC616" i="4"/>
  <c r="X616" i="4"/>
  <c r="W616" i="4"/>
  <c r="U616" i="4"/>
  <c r="V616" i="4" s="1"/>
  <c r="T616" i="4"/>
  <c r="S616" i="4"/>
  <c r="L616" i="4"/>
  <c r="K616" i="4"/>
  <c r="AC615" i="4"/>
  <c r="X615" i="4"/>
  <c r="W615" i="4"/>
  <c r="V615" i="4"/>
  <c r="U615" i="4"/>
  <c r="T615" i="4"/>
  <c r="S615" i="4"/>
  <c r="L615" i="4"/>
  <c r="K615" i="4"/>
  <c r="AC614" i="4"/>
  <c r="X614" i="4"/>
  <c r="W614" i="4"/>
  <c r="V614" i="4"/>
  <c r="U614" i="4"/>
  <c r="T614" i="4"/>
  <c r="S614" i="4"/>
  <c r="L614" i="4"/>
  <c r="K614" i="4"/>
  <c r="AC613" i="4"/>
  <c r="X613" i="4"/>
  <c r="W613" i="4"/>
  <c r="V613" i="4"/>
  <c r="U613" i="4"/>
  <c r="T613" i="4"/>
  <c r="S613" i="4"/>
  <c r="L613" i="4"/>
  <c r="K613" i="4"/>
  <c r="AC612" i="4"/>
  <c r="X612" i="4"/>
  <c r="W612" i="4"/>
  <c r="U612" i="4"/>
  <c r="V612" i="4" s="1"/>
  <c r="T612" i="4"/>
  <c r="S612" i="4"/>
  <c r="L612" i="4"/>
  <c r="K612" i="4"/>
  <c r="AC611" i="4"/>
  <c r="X611" i="4"/>
  <c r="W611" i="4"/>
  <c r="V611" i="4"/>
  <c r="U611" i="4"/>
  <c r="T611" i="4"/>
  <c r="S611" i="4"/>
  <c r="L611" i="4"/>
  <c r="K611" i="4"/>
  <c r="AC610" i="4"/>
  <c r="X610" i="4"/>
  <c r="W610" i="4"/>
  <c r="U610" i="4"/>
  <c r="V610" i="4" s="1"/>
  <c r="T610" i="4"/>
  <c r="S610" i="4"/>
  <c r="L610" i="4"/>
  <c r="K610" i="4"/>
  <c r="AC609" i="4"/>
  <c r="X609" i="4"/>
  <c r="W609" i="4"/>
  <c r="U609" i="4"/>
  <c r="V609" i="4" s="1"/>
  <c r="T609" i="4"/>
  <c r="S609" i="4"/>
  <c r="L609" i="4"/>
  <c r="K609" i="4"/>
  <c r="AC608" i="4"/>
  <c r="X608" i="4"/>
  <c r="W608" i="4"/>
  <c r="U608" i="4"/>
  <c r="V608" i="4" s="1"/>
  <c r="T608" i="4"/>
  <c r="S608" i="4"/>
  <c r="L608" i="4"/>
  <c r="K608" i="4"/>
  <c r="AC607" i="4"/>
  <c r="X607" i="4"/>
  <c r="W607" i="4"/>
  <c r="V607" i="4"/>
  <c r="U607" i="4"/>
  <c r="T607" i="4"/>
  <c r="S607" i="4"/>
  <c r="L607" i="4"/>
  <c r="K607" i="4"/>
  <c r="AC606" i="4"/>
  <c r="X606" i="4"/>
  <c r="W606" i="4"/>
  <c r="U606" i="4"/>
  <c r="V606" i="4" s="1"/>
  <c r="T606" i="4"/>
  <c r="S606" i="4"/>
  <c r="L606" i="4"/>
  <c r="K606" i="4"/>
  <c r="AC605" i="4"/>
  <c r="X605" i="4"/>
  <c r="W605" i="4"/>
  <c r="U605" i="4"/>
  <c r="V605" i="4" s="1"/>
  <c r="T605" i="4"/>
  <c r="S605" i="4"/>
  <c r="L605" i="4"/>
  <c r="K605" i="4"/>
  <c r="AC604" i="4"/>
  <c r="X604" i="4"/>
  <c r="W604" i="4"/>
  <c r="U604" i="4"/>
  <c r="V604" i="4" s="1"/>
  <c r="T604" i="4"/>
  <c r="S604" i="4"/>
  <c r="L604" i="4"/>
  <c r="K604" i="4"/>
  <c r="AC603" i="4"/>
  <c r="X603" i="4"/>
  <c r="W603" i="4"/>
  <c r="U603" i="4"/>
  <c r="V603" i="4" s="1"/>
  <c r="T603" i="4"/>
  <c r="S603" i="4"/>
  <c r="L603" i="4"/>
  <c r="K603" i="4"/>
  <c r="AC602" i="4"/>
  <c r="X602" i="4"/>
  <c r="W602" i="4"/>
  <c r="U602" i="4"/>
  <c r="V602" i="4" s="1"/>
  <c r="T602" i="4"/>
  <c r="S602" i="4"/>
  <c r="L602" i="4"/>
  <c r="K602" i="4"/>
  <c r="AC601" i="4"/>
  <c r="X601" i="4"/>
  <c r="W601" i="4"/>
  <c r="U601" i="4"/>
  <c r="V601" i="4" s="1"/>
  <c r="T601" i="4"/>
  <c r="S601" i="4"/>
  <c r="L601" i="4"/>
  <c r="K601" i="4"/>
  <c r="AC600" i="4"/>
  <c r="X600" i="4"/>
  <c r="W600" i="4"/>
  <c r="U600" i="4"/>
  <c r="V600" i="4" s="1"/>
  <c r="T600" i="4"/>
  <c r="S600" i="4"/>
  <c r="L600" i="4"/>
  <c r="K600" i="4"/>
  <c r="AC599" i="4"/>
  <c r="X599" i="4"/>
  <c r="W599" i="4"/>
  <c r="U599" i="4"/>
  <c r="V599" i="4" s="1"/>
  <c r="T599" i="4"/>
  <c r="S599" i="4"/>
  <c r="L599" i="4"/>
  <c r="K599" i="4"/>
  <c r="AC598" i="4"/>
  <c r="X598" i="4"/>
  <c r="W598" i="4"/>
  <c r="U598" i="4"/>
  <c r="V598" i="4" s="1"/>
  <c r="T598" i="4"/>
  <c r="S598" i="4"/>
  <c r="L598" i="4"/>
  <c r="K598" i="4"/>
  <c r="AC597" i="4"/>
  <c r="X597" i="4"/>
  <c r="W597" i="4"/>
  <c r="U597" i="4"/>
  <c r="V597" i="4" s="1"/>
  <c r="T597" i="4"/>
  <c r="S597" i="4"/>
  <c r="L597" i="4"/>
  <c r="K597" i="4"/>
  <c r="AC596" i="4"/>
  <c r="X596" i="4"/>
  <c r="W596" i="4"/>
  <c r="U596" i="4"/>
  <c r="V596" i="4" s="1"/>
  <c r="T596" i="4"/>
  <c r="S596" i="4"/>
  <c r="L596" i="4"/>
  <c r="K596" i="4"/>
  <c r="AC595" i="4"/>
  <c r="X595" i="4"/>
  <c r="W595" i="4"/>
  <c r="U595" i="4"/>
  <c r="V595" i="4" s="1"/>
  <c r="T595" i="4"/>
  <c r="S595" i="4"/>
  <c r="L595" i="4"/>
  <c r="K595" i="4"/>
  <c r="AC594" i="4"/>
  <c r="X594" i="4"/>
  <c r="W594" i="4"/>
  <c r="U594" i="4"/>
  <c r="V594" i="4" s="1"/>
  <c r="T594" i="4"/>
  <c r="S594" i="4"/>
  <c r="L594" i="4"/>
  <c r="K594" i="4"/>
  <c r="AC593" i="4"/>
  <c r="X593" i="4"/>
  <c r="W593" i="4"/>
  <c r="U593" i="4"/>
  <c r="V593" i="4" s="1"/>
  <c r="T593" i="4"/>
  <c r="S593" i="4"/>
  <c r="L593" i="4"/>
  <c r="K593" i="4"/>
  <c r="AC592" i="4"/>
  <c r="X592" i="4"/>
  <c r="W592" i="4"/>
  <c r="U592" i="4"/>
  <c r="V592" i="4" s="1"/>
  <c r="T592" i="4"/>
  <c r="S592" i="4"/>
  <c r="L592" i="4"/>
  <c r="K592" i="4"/>
  <c r="AC591" i="4"/>
  <c r="X591" i="4"/>
  <c r="W591" i="4"/>
  <c r="U591" i="4"/>
  <c r="V591" i="4" s="1"/>
  <c r="T591" i="4"/>
  <c r="S591" i="4"/>
  <c r="L591" i="4"/>
  <c r="K591" i="4"/>
  <c r="AC590" i="4"/>
  <c r="X590" i="4"/>
  <c r="W590" i="4"/>
  <c r="V590" i="4"/>
  <c r="U590" i="4"/>
  <c r="T590" i="4"/>
  <c r="S590" i="4"/>
  <c r="L590" i="4"/>
  <c r="K590" i="4"/>
  <c r="AC589" i="4"/>
  <c r="X589" i="4"/>
  <c r="W589" i="4"/>
  <c r="U589" i="4"/>
  <c r="V589" i="4" s="1"/>
  <c r="T589" i="4"/>
  <c r="S589" i="4"/>
  <c r="L589" i="4"/>
  <c r="K589" i="4"/>
  <c r="AC588" i="4"/>
  <c r="X588" i="4"/>
  <c r="W588" i="4"/>
  <c r="U588" i="4"/>
  <c r="V588" i="4" s="1"/>
  <c r="T588" i="4"/>
  <c r="S588" i="4"/>
  <c r="L588" i="4"/>
  <c r="K588" i="4"/>
  <c r="AC587" i="4"/>
  <c r="X587" i="4"/>
  <c r="W587" i="4"/>
  <c r="V587" i="4"/>
  <c r="U587" i="4"/>
  <c r="T587" i="4"/>
  <c r="S587" i="4"/>
  <c r="L587" i="4"/>
  <c r="K587" i="4"/>
  <c r="AC586" i="4"/>
  <c r="X586" i="4"/>
  <c r="W586" i="4"/>
  <c r="U586" i="4"/>
  <c r="V586" i="4" s="1"/>
  <c r="T586" i="4"/>
  <c r="S586" i="4"/>
  <c r="L586" i="4"/>
  <c r="K586" i="4"/>
  <c r="AC585" i="4"/>
  <c r="X585" i="4"/>
  <c r="W585" i="4"/>
  <c r="V585" i="4"/>
  <c r="U585" i="4"/>
  <c r="T585" i="4"/>
  <c r="S585" i="4"/>
  <c r="L585" i="4"/>
  <c r="K585" i="4"/>
  <c r="AC584" i="4"/>
  <c r="X584" i="4"/>
  <c r="W584" i="4"/>
  <c r="U584" i="4"/>
  <c r="V584" i="4" s="1"/>
  <c r="T584" i="4"/>
  <c r="S584" i="4"/>
  <c r="L584" i="4"/>
  <c r="K584" i="4"/>
  <c r="AC583" i="4"/>
  <c r="X583" i="4"/>
  <c r="W583" i="4"/>
  <c r="V583" i="4"/>
  <c r="U583" i="4"/>
  <c r="T583" i="4"/>
  <c r="S583" i="4"/>
  <c r="L583" i="4"/>
  <c r="K583" i="4"/>
  <c r="AC582" i="4"/>
  <c r="X582" i="4"/>
  <c r="W582" i="4"/>
  <c r="U582" i="4"/>
  <c r="V582" i="4" s="1"/>
  <c r="T582" i="4"/>
  <c r="S582" i="4"/>
  <c r="L582" i="4"/>
  <c r="K582" i="4"/>
  <c r="AC581" i="4"/>
  <c r="X581" i="4"/>
  <c r="W581" i="4"/>
  <c r="U581" i="4"/>
  <c r="V581" i="4" s="1"/>
  <c r="T581" i="4"/>
  <c r="S581" i="4"/>
  <c r="L581" i="4"/>
  <c r="K581" i="4"/>
  <c r="AC580" i="4"/>
  <c r="X580" i="4"/>
  <c r="W580" i="4"/>
  <c r="U580" i="4"/>
  <c r="V580" i="4" s="1"/>
  <c r="T580" i="4"/>
  <c r="S580" i="4"/>
  <c r="L580" i="4"/>
  <c r="K580" i="4"/>
  <c r="AC579" i="4"/>
  <c r="X579" i="4"/>
  <c r="W579" i="4"/>
  <c r="U579" i="4"/>
  <c r="V579" i="4" s="1"/>
  <c r="T579" i="4"/>
  <c r="S579" i="4"/>
  <c r="L579" i="4"/>
  <c r="K579" i="4"/>
  <c r="AC578" i="4"/>
  <c r="X578" i="4"/>
  <c r="W578" i="4"/>
  <c r="U578" i="4"/>
  <c r="V578" i="4" s="1"/>
  <c r="T578" i="4"/>
  <c r="S578" i="4"/>
  <c r="L578" i="4"/>
  <c r="K578" i="4"/>
  <c r="AC577" i="4"/>
  <c r="X577" i="4"/>
  <c r="W577" i="4"/>
  <c r="U577" i="4"/>
  <c r="V577" i="4" s="1"/>
  <c r="T577" i="4"/>
  <c r="S577" i="4"/>
  <c r="L577" i="4"/>
  <c r="K577" i="4"/>
  <c r="AC576" i="4"/>
  <c r="X576" i="4"/>
  <c r="W576" i="4"/>
  <c r="U576" i="4"/>
  <c r="V576" i="4" s="1"/>
  <c r="T576" i="4"/>
  <c r="S576" i="4"/>
  <c r="L576" i="4"/>
  <c r="K576" i="4"/>
  <c r="AC575" i="4"/>
  <c r="X575" i="4"/>
  <c r="W575" i="4"/>
  <c r="U575" i="4"/>
  <c r="V575" i="4" s="1"/>
  <c r="T575" i="4"/>
  <c r="S575" i="4"/>
  <c r="L575" i="4"/>
  <c r="K575" i="4"/>
  <c r="AC574" i="4"/>
  <c r="X574" i="4"/>
  <c r="W574" i="4"/>
  <c r="V574" i="4"/>
  <c r="P574" i="4" s="1"/>
  <c r="U574" i="4"/>
  <c r="T574" i="4"/>
  <c r="S574" i="4"/>
  <c r="L574" i="4"/>
  <c r="K574" i="4"/>
  <c r="AC573" i="4"/>
  <c r="X573" i="4"/>
  <c r="W573" i="4"/>
  <c r="V573" i="4"/>
  <c r="U573" i="4"/>
  <c r="T573" i="4"/>
  <c r="S573" i="4"/>
  <c r="L573" i="4"/>
  <c r="K573" i="4"/>
  <c r="AC572" i="4"/>
  <c r="X572" i="4"/>
  <c r="W572" i="4"/>
  <c r="U572" i="4"/>
  <c r="V572" i="4" s="1"/>
  <c r="T572" i="4"/>
  <c r="S572" i="4"/>
  <c r="L572" i="4"/>
  <c r="K572" i="4"/>
  <c r="AC571" i="4"/>
  <c r="X571" i="4"/>
  <c r="W571" i="4"/>
  <c r="V571" i="4"/>
  <c r="U571" i="4"/>
  <c r="T571" i="4"/>
  <c r="S571" i="4"/>
  <c r="L571" i="4"/>
  <c r="K571" i="4"/>
  <c r="AC570" i="4"/>
  <c r="X570" i="4"/>
  <c r="W570" i="4"/>
  <c r="U570" i="4"/>
  <c r="V570" i="4" s="1"/>
  <c r="T570" i="4"/>
  <c r="S570" i="4"/>
  <c r="L570" i="4"/>
  <c r="K570" i="4"/>
  <c r="AC569" i="4"/>
  <c r="X569" i="4"/>
  <c r="W569" i="4"/>
  <c r="U569" i="4"/>
  <c r="V569" i="4" s="1"/>
  <c r="T569" i="4"/>
  <c r="S569" i="4"/>
  <c r="L569" i="4"/>
  <c r="K569" i="4"/>
  <c r="AC568" i="4"/>
  <c r="X568" i="4"/>
  <c r="W568" i="4"/>
  <c r="U568" i="4"/>
  <c r="V568" i="4" s="1"/>
  <c r="T568" i="4"/>
  <c r="S568" i="4"/>
  <c r="L568" i="4"/>
  <c r="K568" i="4"/>
  <c r="AC567" i="4"/>
  <c r="X567" i="4"/>
  <c r="W567" i="4"/>
  <c r="V567" i="4"/>
  <c r="U567" i="4"/>
  <c r="T567" i="4"/>
  <c r="S567" i="4"/>
  <c r="L567" i="4"/>
  <c r="K567" i="4"/>
  <c r="AC566" i="4"/>
  <c r="X566" i="4"/>
  <c r="W566" i="4"/>
  <c r="U566" i="4"/>
  <c r="V566" i="4" s="1"/>
  <c r="T566" i="4"/>
  <c r="S566" i="4"/>
  <c r="L566" i="4"/>
  <c r="K566" i="4"/>
  <c r="AC565" i="4"/>
  <c r="X565" i="4"/>
  <c r="W565" i="4"/>
  <c r="U565" i="4"/>
  <c r="V565" i="4" s="1"/>
  <c r="P565" i="4" s="1"/>
  <c r="T565" i="4"/>
  <c r="S565" i="4"/>
  <c r="L565" i="4"/>
  <c r="K565" i="4"/>
  <c r="AC564" i="4"/>
  <c r="X564" i="4"/>
  <c r="W564" i="4"/>
  <c r="U564" i="4"/>
  <c r="V564" i="4" s="1"/>
  <c r="T564" i="4"/>
  <c r="S564" i="4"/>
  <c r="L564" i="4"/>
  <c r="K564" i="4"/>
  <c r="AC563" i="4"/>
  <c r="X563" i="4"/>
  <c r="W563" i="4"/>
  <c r="U563" i="4"/>
  <c r="V563" i="4" s="1"/>
  <c r="T563" i="4"/>
  <c r="S563" i="4"/>
  <c r="L563" i="4"/>
  <c r="K563" i="4"/>
  <c r="AC562" i="4"/>
  <c r="X562" i="4"/>
  <c r="W562" i="4"/>
  <c r="U562" i="4"/>
  <c r="V562" i="4" s="1"/>
  <c r="T562" i="4"/>
  <c r="S562" i="4"/>
  <c r="L562" i="4"/>
  <c r="K562" i="4"/>
  <c r="AC561" i="4"/>
  <c r="X561" i="4"/>
  <c r="W561" i="4"/>
  <c r="U561" i="4"/>
  <c r="V561" i="4" s="1"/>
  <c r="T561" i="4"/>
  <c r="S561" i="4"/>
  <c r="L561" i="4"/>
  <c r="K561" i="4"/>
  <c r="AC560" i="4"/>
  <c r="X560" i="4"/>
  <c r="W560" i="4"/>
  <c r="U560" i="4"/>
  <c r="V560" i="4" s="1"/>
  <c r="T560" i="4"/>
  <c r="S560" i="4"/>
  <c r="L560" i="4"/>
  <c r="K560" i="4"/>
  <c r="AC559" i="4"/>
  <c r="X559" i="4"/>
  <c r="W559" i="4"/>
  <c r="V559" i="4"/>
  <c r="U559" i="4"/>
  <c r="T559" i="4"/>
  <c r="S559" i="4"/>
  <c r="L559" i="4"/>
  <c r="K559" i="4"/>
  <c r="AC558" i="4"/>
  <c r="X558" i="4"/>
  <c r="W558" i="4"/>
  <c r="U558" i="4"/>
  <c r="V558" i="4" s="1"/>
  <c r="T558" i="4"/>
  <c r="S558" i="4"/>
  <c r="L558" i="4"/>
  <c r="K558" i="4"/>
  <c r="AC557" i="4"/>
  <c r="X557" i="4"/>
  <c r="W557" i="4"/>
  <c r="V557" i="4"/>
  <c r="U557" i="4"/>
  <c r="T557" i="4"/>
  <c r="S557" i="4"/>
  <c r="L557" i="4"/>
  <c r="K557" i="4"/>
  <c r="AC556" i="4"/>
  <c r="X556" i="4"/>
  <c r="W556" i="4"/>
  <c r="U556" i="4"/>
  <c r="V556" i="4" s="1"/>
  <c r="T556" i="4"/>
  <c r="S556" i="4"/>
  <c r="L556" i="4"/>
  <c r="K556" i="4"/>
  <c r="AC555" i="4"/>
  <c r="X555" i="4"/>
  <c r="W555" i="4"/>
  <c r="U555" i="4"/>
  <c r="V555" i="4" s="1"/>
  <c r="T555" i="4"/>
  <c r="S555" i="4"/>
  <c r="L555" i="4"/>
  <c r="K555" i="4"/>
  <c r="AC554" i="4"/>
  <c r="X554" i="4"/>
  <c r="W554" i="4"/>
  <c r="V554" i="4"/>
  <c r="U554" i="4"/>
  <c r="T554" i="4"/>
  <c r="S554" i="4"/>
  <c r="L554" i="4"/>
  <c r="K554" i="4"/>
  <c r="AC553" i="4"/>
  <c r="X553" i="4"/>
  <c r="W553" i="4"/>
  <c r="V553" i="4"/>
  <c r="U553" i="4"/>
  <c r="T553" i="4"/>
  <c r="S553" i="4"/>
  <c r="L553" i="4"/>
  <c r="K553" i="4"/>
  <c r="AC552" i="4"/>
  <c r="X552" i="4"/>
  <c r="W552" i="4"/>
  <c r="U552" i="4"/>
  <c r="V552" i="4" s="1"/>
  <c r="T552" i="4"/>
  <c r="S552" i="4"/>
  <c r="L552" i="4"/>
  <c r="K552" i="4"/>
  <c r="AC551" i="4"/>
  <c r="X551" i="4"/>
  <c r="W551" i="4"/>
  <c r="V551" i="4"/>
  <c r="U551" i="4"/>
  <c r="T551" i="4"/>
  <c r="S551" i="4"/>
  <c r="L551" i="4"/>
  <c r="K551" i="4"/>
  <c r="AC550" i="4"/>
  <c r="X550" i="4"/>
  <c r="W550" i="4"/>
  <c r="U550" i="4"/>
  <c r="V550" i="4" s="1"/>
  <c r="T550" i="4"/>
  <c r="S550" i="4"/>
  <c r="L550" i="4"/>
  <c r="K550" i="4"/>
  <c r="AC549" i="4"/>
  <c r="X549" i="4"/>
  <c r="W549" i="4"/>
  <c r="U549" i="4"/>
  <c r="V549" i="4" s="1"/>
  <c r="T549" i="4"/>
  <c r="S549" i="4"/>
  <c r="L549" i="4"/>
  <c r="K549" i="4"/>
  <c r="AC548" i="4"/>
  <c r="X548" i="4"/>
  <c r="W548" i="4"/>
  <c r="U548" i="4"/>
  <c r="V548" i="4" s="1"/>
  <c r="T548" i="4"/>
  <c r="S548" i="4"/>
  <c r="L548" i="4"/>
  <c r="K548" i="4"/>
  <c r="AC547" i="4"/>
  <c r="X547" i="4"/>
  <c r="W547" i="4"/>
  <c r="U547" i="4"/>
  <c r="V547" i="4" s="1"/>
  <c r="T547" i="4"/>
  <c r="S547" i="4"/>
  <c r="L547" i="4"/>
  <c r="K547" i="4"/>
  <c r="AC546" i="4"/>
  <c r="X546" i="4"/>
  <c r="W546" i="4"/>
  <c r="V546" i="4"/>
  <c r="U546" i="4"/>
  <c r="T546" i="4"/>
  <c r="S546" i="4"/>
  <c r="L546" i="4"/>
  <c r="K546" i="4"/>
  <c r="AC545" i="4"/>
  <c r="X545" i="4"/>
  <c r="W545" i="4"/>
  <c r="V545" i="4"/>
  <c r="U545" i="4"/>
  <c r="T545" i="4"/>
  <c r="S545" i="4"/>
  <c r="L545" i="4"/>
  <c r="K545" i="4"/>
  <c r="AC544" i="4"/>
  <c r="X544" i="4"/>
  <c r="W544" i="4"/>
  <c r="U544" i="4"/>
  <c r="V544" i="4" s="1"/>
  <c r="T544" i="4"/>
  <c r="S544" i="4"/>
  <c r="L544" i="4"/>
  <c r="K544" i="4"/>
  <c r="AC543" i="4"/>
  <c r="X543" i="4"/>
  <c r="W543" i="4"/>
  <c r="U543" i="4"/>
  <c r="V543" i="4" s="1"/>
  <c r="T543" i="4"/>
  <c r="S543" i="4"/>
  <c r="L543" i="4"/>
  <c r="K543" i="4"/>
  <c r="AC542" i="4"/>
  <c r="X542" i="4"/>
  <c r="W542" i="4"/>
  <c r="U542" i="4"/>
  <c r="V542" i="4" s="1"/>
  <c r="T542" i="4"/>
  <c r="S542" i="4"/>
  <c r="L542" i="4"/>
  <c r="K542" i="4"/>
  <c r="AC541" i="4"/>
  <c r="X541" i="4"/>
  <c r="W541" i="4"/>
  <c r="U541" i="4"/>
  <c r="V541" i="4" s="1"/>
  <c r="T541" i="4"/>
  <c r="S541" i="4"/>
  <c r="L541" i="4"/>
  <c r="K541" i="4"/>
  <c r="AC540" i="4"/>
  <c r="X540" i="4"/>
  <c r="W540" i="4"/>
  <c r="U540" i="4"/>
  <c r="V540" i="4" s="1"/>
  <c r="T540" i="4"/>
  <c r="S540" i="4"/>
  <c r="L540" i="4"/>
  <c r="K540" i="4"/>
  <c r="AC539" i="4"/>
  <c r="X539" i="4"/>
  <c r="W539" i="4"/>
  <c r="U539" i="4"/>
  <c r="V539" i="4" s="1"/>
  <c r="T539" i="4"/>
  <c r="S539" i="4"/>
  <c r="L539" i="4"/>
  <c r="K539" i="4"/>
  <c r="AC538" i="4"/>
  <c r="X538" i="4"/>
  <c r="W538" i="4"/>
  <c r="V538" i="4"/>
  <c r="U538" i="4"/>
  <c r="T538" i="4"/>
  <c r="S538" i="4"/>
  <c r="L538" i="4"/>
  <c r="K538" i="4"/>
  <c r="AC537" i="4"/>
  <c r="X537" i="4"/>
  <c r="W537" i="4"/>
  <c r="V537" i="4"/>
  <c r="U537" i="4"/>
  <c r="T537" i="4"/>
  <c r="S537" i="4"/>
  <c r="L537" i="4"/>
  <c r="K537" i="4"/>
  <c r="AC536" i="4"/>
  <c r="X536" i="4"/>
  <c r="W536" i="4"/>
  <c r="U536" i="4"/>
  <c r="V536" i="4" s="1"/>
  <c r="T536" i="4"/>
  <c r="S536" i="4"/>
  <c r="L536" i="4"/>
  <c r="K536" i="4"/>
  <c r="AC535" i="4"/>
  <c r="X535" i="4"/>
  <c r="W535" i="4"/>
  <c r="U535" i="4"/>
  <c r="V535" i="4" s="1"/>
  <c r="T535" i="4"/>
  <c r="S535" i="4"/>
  <c r="L535" i="4"/>
  <c r="K535" i="4"/>
  <c r="AC534" i="4"/>
  <c r="X534" i="4"/>
  <c r="W534" i="4"/>
  <c r="U534" i="4"/>
  <c r="V534" i="4" s="1"/>
  <c r="T534" i="4"/>
  <c r="S534" i="4"/>
  <c r="L534" i="4"/>
  <c r="K534" i="4"/>
  <c r="AC533" i="4"/>
  <c r="X533" i="4"/>
  <c r="W533" i="4"/>
  <c r="U533" i="4"/>
  <c r="V533" i="4" s="1"/>
  <c r="T533" i="4"/>
  <c r="S533" i="4"/>
  <c r="L533" i="4"/>
  <c r="K533" i="4"/>
  <c r="AC532" i="4"/>
  <c r="X532" i="4"/>
  <c r="W532" i="4"/>
  <c r="U532" i="4"/>
  <c r="V532" i="4" s="1"/>
  <c r="T532" i="4"/>
  <c r="S532" i="4"/>
  <c r="L532" i="4"/>
  <c r="K532" i="4"/>
  <c r="AC531" i="4"/>
  <c r="X531" i="4"/>
  <c r="W531" i="4"/>
  <c r="U531" i="4"/>
  <c r="V531" i="4" s="1"/>
  <c r="T531" i="4"/>
  <c r="S531" i="4"/>
  <c r="L531" i="4"/>
  <c r="K531" i="4"/>
  <c r="AC530" i="4"/>
  <c r="X530" i="4"/>
  <c r="W530" i="4"/>
  <c r="U530" i="4"/>
  <c r="V530" i="4" s="1"/>
  <c r="T530" i="4"/>
  <c r="S530" i="4"/>
  <c r="L530" i="4"/>
  <c r="K530" i="4"/>
  <c r="AC529" i="4"/>
  <c r="X529" i="4"/>
  <c r="W529" i="4"/>
  <c r="U529" i="4"/>
  <c r="V529" i="4" s="1"/>
  <c r="T529" i="4"/>
  <c r="S529" i="4"/>
  <c r="L529" i="4"/>
  <c r="K529" i="4"/>
  <c r="AC528" i="4"/>
  <c r="X528" i="4"/>
  <c r="W528" i="4"/>
  <c r="U528" i="4"/>
  <c r="V528" i="4" s="1"/>
  <c r="T528" i="4"/>
  <c r="S528" i="4"/>
  <c r="L528" i="4"/>
  <c r="K528" i="4"/>
  <c r="AC527" i="4"/>
  <c r="X527" i="4"/>
  <c r="W527" i="4"/>
  <c r="V527" i="4"/>
  <c r="U527" i="4"/>
  <c r="T527" i="4"/>
  <c r="S527" i="4"/>
  <c r="L527" i="4"/>
  <c r="K527" i="4"/>
  <c r="AC526" i="4"/>
  <c r="X526" i="4"/>
  <c r="W526" i="4"/>
  <c r="U526" i="4"/>
  <c r="V526" i="4" s="1"/>
  <c r="T526" i="4"/>
  <c r="S526" i="4"/>
  <c r="L526" i="4"/>
  <c r="K526" i="4"/>
  <c r="AC525" i="4"/>
  <c r="X525" i="4"/>
  <c r="W525" i="4"/>
  <c r="V525" i="4"/>
  <c r="U525" i="4"/>
  <c r="T525" i="4"/>
  <c r="S525" i="4"/>
  <c r="L525" i="4"/>
  <c r="K525" i="4"/>
  <c r="AC524" i="4"/>
  <c r="X524" i="4"/>
  <c r="W524" i="4"/>
  <c r="U524" i="4"/>
  <c r="V524" i="4" s="1"/>
  <c r="T524" i="4"/>
  <c r="S524" i="4"/>
  <c r="L524" i="4"/>
  <c r="K524" i="4"/>
  <c r="AC523" i="4"/>
  <c r="X523" i="4"/>
  <c r="W523" i="4"/>
  <c r="U523" i="4"/>
  <c r="V523" i="4" s="1"/>
  <c r="T523" i="4"/>
  <c r="S523" i="4"/>
  <c r="L523" i="4"/>
  <c r="K523" i="4"/>
  <c r="AC522" i="4"/>
  <c r="X522" i="4"/>
  <c r="W522" i="4"/>
  <c r="V522" i="4"/>
  <c r="U522" i="4"/>
  <c r="T522" i="4"/>
  <c r="S522" i="4"/>
  <c r="L522" i="4"/>
  <c r="K522" i="4"/>
  <c r="AC521" i="4"/>
  <c r="X521" i="4"/>
  <c r="W521" i="4"/>
  <c r="V521" i="4"/>
  <c r="U521" i="4"/>
  <c r="T521" i="4"/>
  <c r="S521" i="4"/>
  <c r="L521" i="4"/>
  <c r="K521" i="4"/>
  <c r="AC520" i="4"/>
  <c r="X520" i="4"/>
  <c r="W520" i="4"/>
  <c r="U520" i="4"/>
  <c r="V520" i="4" s="1"/>
  <c r="T520" i="4"/>
  <c r="S520" i="4"/>
  <c r="L520" i="4"/>
  <c r="K520" i="4"/>
  <c r="AC519" i="4"/>
  <c r="X519" i="4"/>
  <c r="W519" i="4"/>
  <c r="V519" i="4"/>
  <c r="U519" i="4"/>
  <c r="T519" i="4"/>
  <c r="S519" i="4"/>
  <c r="L519" i="4"/>
  <c r="K519" i="4"/>
  <c r="AC518" i="4"/>
  <c r="X518" i="4"/>
  <c r="W518" i="4"/>
  <c r="U518" i="4"/>
  <c r="V518" i="4" s="1"/>
  <c r="T518" i="4"/>
  <c r="S518" i="4"/>
  <c r="L518" i="4"/>
  <c r="K518" i="4"/>
  <c r="AC517" i="4"/>
  <c r="X517" i="4"/>
  <c r="W517" i="4"/>
  <c r="U517" i="4"/>
  <c r="V517" i="4" s="1"/>
  <c r="T517" i="4"/>
  <c r="S517" i="4"/>
  <c r="L517" i="4"/>
  <c r="K517" i="4"/>
  <c r="AC516" i="4"/>
  <c r="X516" i="4"/>
  <c r="W516" i="4"/>
  <c r="U516" i="4"/>
  <c r="V516" i="4" s="1"/>
  <c r="T516" i="4"/>
  <c r="S516" i="4"/>
  <c r="L516" i="4"/>
  <c r="K516" i="4"/>
  <c r="AC515" i="4"/>
  <c r="X515" i="4"/>
  <c r="W515" i="4"/>
  <c r="U515" i="4"/>
  <c r="V515" i="4" s="1"/>
  <c r="T515" i="4"/>
  <c r="S515" i="4"/>
  <c r="L515" i="4"/>
  <c r="K515" i="4"/>
  <c r="AC514" i="4"/>
  <c r="X514" i="4"/>
  <c r="W514" i="4"/>
  <c r="V514" i="4"/>
  <c r="U514" i="4"/>
  <c r="T514" i="4"/>
  <c r="S514" i="4"/>
  <c r="L514" i="4"/>
  <c r="K514" i="4"/>
  <c r="AC513" i="4"/>
  <c r="X513" i="4"/>
  <c r="W513" i="4"/>
  <c r="V513" i="4"/>
  <c r="U513" i="4"/>
  <c r="T513" i="4"/>
  <c r="S513" i="4"/>
  <c r="P513" i="4"/>
  <c r="L513" i="4"/>
  <c r="K513" i="4"/>
  <c r="AC512" i="4"/>
  <c r="X512" i="4"/>
  <c r="W512" i="4"/>
  <c r="U512" i="4"/>
  <c r="V512" i="4" s="1"/>
  <c r="T512" i="4"/>
  <c r="S512" i="4"/>
  <c r="L512" i="4"/>
  <c r="K512" i="4"/>
  <c r="AC511" i="4"/>
  <c r="X511" i="4"/>
  <c r="W511" i="4"/>
  <c r="U511" i="4"/>
  <c r="V511" i="4" s="1"/>
  <c r="T511" i="4"/>
  <c r="S511" i="4"/>
  <c r="L511" i="4"/>
  <c r="K511" i="4"/>
  <c r="AC510" i="4"/>
  <c r="X510" i="4"/>
  <c r="W510" i="4"/>
  <c r="U510" i="4"/>
  <c r="V510" i="4" s="1"/>
  <c r="T510" i="4"/>
  <c r="S510" i="4"/>
  <c r="L510" i="4"/>
  <c r="K510" i="4"/>
  <c r="AC509" i="4"/>
  <c r="X509" i="4"/>
  <c r="W509" i="4"/>
  <c r="U509" i="4"/>
  <c r="V509" i="4" s="1"/>
  <c r="T509" i="4"/>
  <c r="S509" i="4"/>
  <c r="L509" i="4"/>
  <c r="K509" i="4"/>
  <c r="AC508" i="4"/>
  <c r="X508" i="4"/>
  <c r="W508" i="4"/>
  <c r="U508" i="4"/>
  <c r="V508" i="4" s="1"/>
  <c r="T508" i="4"/>
  <c r="S508" i="4"/>
  <c r="L508" i="4"/>
  <c r="K508" i="4"/>
  <c r="AC507" i="4"/>
  <c r="X507" i="4"/>
  <c r="W507" i="4"/>
  <c r="U507" i="4"/>
  <c r="V507" i="4" s="1"/>
  <c r="T507" i="4"/>
  <c r="S507" i="4"/>
  <c r="L507" i="4"/>
  <c r="K507" i="4"/>
  <c r="AC506" i="4"/>
  <c r="X506" i="4"/>
  <c r="W506" i="4"/>
  <c r="V506" i="4"/>
  <c r="U506" i="4"/>
  <c r="T506" i="4"/>
  <c r="S506" i="4"/>
  <c r="L506" i="4"/>
  <c r="K506" i="4"/>
  <c r="AC505" i="4"/>
  <c r="X505" i="4"/>
  <c r="W505" i="4"/>
  <c r="V505" i="4"/>
  <c r="U505" i="4"/>
  <c r="T505" i="4"/>
  <c r="S505" i="4"/>
  <c r="L505" i="4"/>
  <c r="K505" i="4"/>
  <c r="AC504" i="4"/>
  <c r="X504" i="4"/>
  <c r="W504" i="4"/>
  <c r="U504" i="4"/>
  <c r="V504" i="4" s="1"/>
  <c r="T504" i="4"/>
  <c r="S504" i="4"/>
  <c r="L504" i="4"/>
  <c r="K504" i="4"/>
  <c r="AC503" i="4"/>
  <c r="X503" i="4"/>
  <c r="W503" i="4"/>
  <c r="U503" i="4"/>
  <c r="V503" i="4" s="1"/>
  <c r="T503" i="4"/>
  <c r="S503" i="4"/>
  <c r="L503" i="4"/>
  <c r="K503" i="4"/>
  <c r="AC502" i="4"/>
  <c r="X502" i="4"/>
  <c r="W502" i="4"/>
  <c r="U502" i="4"/>
  <c r="V502" i="4" s="1"/>
  <c r="T502" i="4"/>
  <c r="S502" i="4"/>
  <c r="L502" i="4"/>
  <c r="K502" i="4"/>
  <c r="AC501" i="4"/>
  <c r="X501" i="4"/>
  <c r="W501" i="4"/>
  <c r="U501" i="4"/>
  <c r="V501" i="4" s="1"/>
  <c r="P493" i="4" s="1"/>
  <c r="T501" i="4"/>
  <c r="S501" i="4"/>
  <c r="L501" i="4"/>
  <c r="K501" i="4"/>
  <c r="AC500" i="4"/>
  <c r="X500" i="4"/>
  <c r="W500" i="4"/>
  <c r="U500" i="4"/>
  <c r="V500" i="4" s="1"/>
  <c r="T500" i="4"/>
  <c r="S500" i="4"/>
  <c r="L500" i="4"/>
  <c r="K500" i="4"/>
  <c r="AC499" i="4"/>
  <c r="X499" i="4"/>
  <c r="W499" i="4"/>
  <c r="U499" i="4"/>
  <c r="V499" i="4" s="1"/>
  <c r="T499" i="4"/>
  <c r="S499" i="4"/>
  <c r="L499" i="4"/>
  <c r="K499" i="4"/>
  <c r="AC498" i="4"/>
  <c r="X498" i="4"/>
  <c r="W498" i="4"/>
  <c r="U498" i="4"/>
  <c r="V498" i="4" s="1"/>
  <c r="T498" i="4"/>
  <c r="S498" i="4"/>
  <c r="L498" i="4"/>
  <c r="K498" i="4"/>
  <c r="AC497" i="4"/>
  <c r="X497" i="4"/>
  <c r="W497" i="4"/>
  <c r="U497" i="4"/>
  <c r="V497" i="4" s="1"/>
  <c r="T497" i="4"/>
  <c r="S497" i="4"/>
  <c r="L497" i="4"/>
  <c r="K497" i="4"/>
  <c r="AC496" i="4"/>
  <c r="X496" i="4"/>
  <c r="W496" i="4"/>
  <c r="U496" i="4"/>
  <c r="V496" i="4" s="1"/>
  <c r="T496" i="4"/>
  <c r="S496" i="4"/>
  <c r="L496" i="4"/>
  <c r="K496" i="4"/>
  <c r="AC495" i="4"/>
  <c r="X495" i="4"/>
  <c r="W495" i="4"/>
  <c r="V495" i="4"/>
  <c r="U495" i="4"/>
  <c r="T495" i="4"/>
  <c r="S495" i="4"/>
  <c r="L495" i="4"/>
  <c r="K495" i="4"/>
  <c r="AC494" i="4"/>
  <c r="X494" i="4"/>
  <c r="W494" i="4"/>
  <c r="U494" i="4"/>
  <c r="V494" i="4" s="1"/>
  <c r="T494" i="4"/>
  <c r="S494" i="4"/>
  <c r="L494" i="4"/>
  <c r="K494" i="4"/>
  <c r="AC493" i="4"/>
  <c r="X493" i="4"/>
  <c r="W493" i="4"/>
  <c r="U493" i="4"/>
  <c r="V493" i="4" s="1"/>
  <c r="T493" i="4"/>
  <c r="S493" i="4"/>
  <c r="L493" i="4"/>
  <c r="K493" i="4"/>
  <c r="AC492" i="4"/>
  <c r="X492" i="4"/>
  <c r="W492" i="4"/>
  <c r="V492" i="4"/>
  <c r="U492" i="4"/>
  <c r="T492" i="4"/>
  <c r="S492" i="4"/>
  <c r="L492" i="4"/>
  <c r="K492" i="4"/>
  <c r="AC491" i="4"/>
  <c r="X491" i="4"/>
  <c r="W491" i="4"/>
  <c r="U491" i="4"/>
  <c r="V491" i="4" s="1"/>
  <c r="T491" i="4"/>
  <c r="S491" i="4"/>
  <c r="L491" i="4"/>
  <c r="K491" i="4"/>
  <c r="AC490" i="4"/>
  <c r="X490" i="4"/>
  <c r="W490" i="4"/>
  <c r="U490" i="4"/>
  <c r="V490" i="4" s="1"/>
  <c r="T490" i="4"/>
  <c r="S490" i="4"/>
  <c r="L490" i="4"/>
  <c r="K490" i="4"/>
  <c r="AC489" i="4"/>
  <c r="X489" i="4"/>
  <c r="W489" i="4"/>
  <c r="V489" i="4"/>
  <c r="U489" i="4"/>
  <c r="T489" i="4"/>
  <c r="S489" i="4"/>
  <c r="L489" i="4"/>
  <c r="K489" i="4"/>
  <c r="AC488" i="4"/>
  <c r="X488" i="4"/>
  <c r="W488" i="4"/>
  <c r="U488" i="4"/>
  <c r="V488" i="4" s="1"/>
  <c r="T488" i="4"/>
  <c r="S488" i="4"/>
  <c r="L488" i="4"/>
  <c r="K488" i="4"/>
  <c r="AC487" i="4"/>
  <c r="X487" i="4"/>
  <c r="W487" i="4"/>
  <c r="V487" i="4"/>
  <c r="U487" i="4"/>
  <c r="T487" i="4"/>
  <c r="S487" i="4"/>
  <c r="L487" i="4"/>
  <c r="K487" i="4"/>
  <c r="AC486" i="4"/>
  <c r="X486" i="4"/>
  <c r="W486" i="4"/>
  <c r="U486" i="4"/>
  <c r="V486" i="4" s="1"/>
  <c r="T486" i="4"/>
  <c r="S486" i="4"/>
  <c r="L486" i="4"/>
  <c r="K486" i="4"/>
  <c r="AC485" i="4"/>
  <c r="X485" i="4"/>
  <c r="W485" i="4"/>
  <c r="U485" i="4"/>
  <c r="V485" i="4" s="1"/>
  <c r="T485" i="4"/>
  <c r="S485" i="4"/>
  <c r="L485" i="4"/>
  <c r="K485" i="4"/>
  <c r="AC484" i="4"/>
  <c r="X484" i="4"/>
  <c r="W484" i="4"/>
  <c r="V484" i="4"/>
  <c r="U484" i="4"/>
  <c r="T484" i="4"/>
  <c r="S484" i="4"/>
  <c r="L484" i="4"/>
  <c r="K484" i="4"/>
  <c r="AC483" i="4"/>
  <c r="X483" i="4"/>
  <c r="W483" i="4"/>
  <c r="V483" i="4"/>
  <c r="U483" i="4"/>
  <c r="T483" i="4"/>
  <c r="S483" i="4"/>
  <c r="L483" i="4"/>
  <c r="K483" i="4"/>
  <c r="AC482" i="4"/>
  <c r="X482" i="4"/>
  <c r="W482" i="4"/>
  <c r="U482" i="4"/>
  <c r="V482" i="4" s="1"/>
  <c r="P482" i="4" s="1"/>
  <c r="T482" i="4"/>
  <c r="S482" i="4"/>
  <c r="L482" i="4"/>
  <c r="K482" i="4"/>
  <c r="AC481" i="4"/>
  <c r="X481" i="4"/>
  <c r="W481" i="4"/>
  <c r="V481" i="4"/>
  <c r="U481" i="4"/>
  <c r="T481" i="4"/>
  <c r="S481" i="4"/>
  <c r="L481" i="4"/>
  <c r="K481" i="4"/>
  <c r="AC480" i="4"/>
  <c r="X480" i="4"/>
  <c r="W480" i="4"/>
  <c r="U480" i="4"/>
  <c r="V480" i="4" s="1"/>
  <c r="T480" i="4"/>
  <c r="S480" i="4"/>
  <c r="L480" i="4"/>
  <c r="K480" i="4"/>
  <c r="AC479" i="4"/>
  <c r="X479" i="4"/>
  <c r="W479" i="4"/>
  <c r="U479" i="4"/>
  <c r="V479" i="4" s="1"/>
  <c r="T479" i="4"/>
  <c r="S479" i="4"/>
  <c r="L479" i="4"/>
  <c r="K479" i="4"/>
  <c r="AC478" i="4"/>
  <c r="X478" i="4"/>
  <c r="W478" i="4"/>
  <c r="U478" i="4"/>
  <c r="V478" i="4" s="1"/>
  <c r="T478" i="4"/>
  <c r="S478" i="4"/>
  <c r="L478" i="4"/>
  <c r="K478" i="4"/>
  <c r="AC477" i="4"/>
  <c r="X477" i="4"/>
  <c r="W477" i="4"/>
  <c r="U477" i="4"/>
  <c r="V477" i="4" s="1"/>
  <c r="T477" i="4"/>
  <c r="S477" i="4"/>
  <c r="L477" i="4"/>
  <c r="K477" i="4"/>
  <c r="AC476" i="4"/>
  <c r="X476" i="4"/>
  <c r="W476" i="4"/>
  <c r="V476" i="4"/>
  <c r="U476" i="4"/>
  <c r="T476" i="4"/>
  <c r="S476" i="4"/>
  <c r="L476" i="4"/>
  <c r="K476" i="4"/>
  <c r="AC475" i="4"/>
  <c r="X475" i="4"/>
  <c r="W475" i="4"/>
  <c r="U475" i="4"/>
  <c r="V475" i="4" s="1"/>
  <c r="T475" i="4"/>
  <c r="S475" i="4"/>
  <c r="L475" i="4"/>
  <c r="K475" i="4"/>
  <c r="AC474" i="4"/>
  <c r="X474" i="4"/>
  <c r="W474" i="4"/>
  <c r="U474" i="4"/>
  <c r="V474" i="4" s="1"/>
  <c r="T474" i="4"/>
  <c r="S474" i="4"/>
  <c r="L474" i="4"/>
  <c r="K474" i="4"/>
  <c r="AC473" i="4"/>
  <c r="X473" i="4"/>
  <c r="W473" i="4"/>
  <c r="V473" i="4"/>
  <c r="U473" i="4"/>
  <c r="T473" i="4"/>
  <c r="S473" i="4"/>
  <c r="L473" i="4"/>
  <c r="K473" i="4"/>
  <c r="AC472" i="4"/>
  <c r="X472" i="4"/>
  <c r="W472" i="4"/>
  <c r="U472" i="4"/>
  <c r="V472" i="4" s="1"/>
  <c r="T472" i="4"/>
  <c r="S472" i="4"/>
  <c r="L472" i="4"/>
  <c r="K472" i="4"/>
  <c r="AC471" i="4"/>
  <c r="X471" i="4"/>
  <c r="W471" i="4"/>
  <c r="V471" i="4"/>
  <c r="U471" i="4"/>
  <c r="T471" i="4"/>
  <c r="S471" i="4"/>
  <c r="L471" i="4"/>
  <c r="K471" i="4"/>
  <c r="AC470" i="4"/>
  <c r="X470" i="4"/>
  <c r="W470" i="4"/>
  <c r="U470" i="4"/>
  <c r="V470" i="4" s="1"/>
  <c r="T470" i="4"/>
  <c r="S470" i="4"/>
  <c r="L470" i="4"/>
  <c r="K470" i="4"/>
  <c r="AC469" i="4"/>
  <c r="X469" i="4"/>
  <c r="W469" i="4"/>
  <c r="U469" i="4"/>
  <c r="V469" i="4" s="1"/>
  <c r="T469" i="4"/>
  <c r="S469" i="4"/>
  <c r="L469" i="4"/>
  <c r="K469" i="4"/>
  <c r="AC468" i="4"/>
  <c r="X468" i="4"/>
  <c r="W468" i="4"/>
  <c r="V468" i="4"/>
  <c r="U468" i="4"/>
  <c r="T468" i="4"/>
  <c r="S468" i="4"/>
  <c r="L468" i="4"/>
  <c r="K468" i="4"/>
  <c r="AC467" i="4"/>
  <c r="X467" i="4"/>
  <c r="W467" i="4"/>
  <c r="V467" i="4"/>
  <c r="U467" i="4"/>
  <c r="T467" i="4"/>
  <c r="S467" i="4"/>
  <c r="L467" i="4"/>
  <c r="K467" i="4"/>
  <c r="AC466" i="4"/>
  <c r="X466" i="4"/>
  <c r="W466" i="4"/>
  <c r="U466" i="4"/>
  <c r="V466" i="4" s="1"/>
  <c r="T466" i="4"/>
  <c r="S466" i="4"/>
  <c r="L466" i="4"/>
  <c r="K466" i="4"/>
  <c r="AC465" i="4"/>
  <c r="X465" i="4"/>
  <c r="W465" i="4"/>
  <c r="U465" i="4"/>
  <c r="V465" i="4" s="1"/>
  <c r="P465" i="4" s="1"/>
  <c r="T465" i="4"/>
  <c r="S465" i="4"/>
  <c r="L465" i="4"/>
  <c r="K465" i="4"/>
  <c r="AC464" i="4"/>
  <c r="X464" i="4"/>
  <c r="W464" i="4"/>
  <c r="U464" i="4"/>
  <c r="V464" i="4" s="1"/>
  <c r="T464" i="4"/>
  <c r="S464" i="4"/>
  <c r="L464" i="4"/>
  <c r="K464" i="4"/>
  <c r="AC463" i="4"/>
  <c r="X463" i="4"/>
  <c r="W463" i="4"/>
  <c r="U463" i="4"/>
  <c r="V463" i="4" s="1"/>
  <c r="T463" i="4"/>
  <c r="S463" i="4"/>
  <c r="L463" i="4"/>
  <c r="K463" i="4"/>
  <c r="AC462" i="4"/>
  <c r="X462" i="4"/>
  <c r="W462" i="4"/>
  <c r="U462" i="4"/>
  <c r="V462" i="4" s="1"/>
  <c r="T462" i="4"/>
  <c r="S462" i="4"/>
  <c r="L462" i="4"/>
  <c r="K462" i="4"/>
  <c r="AC461" i="4"/>
  <c r="X461" i="4"/>
  <c r="W461" i="4"/>
  <c r="U461" i="4"/>
  <c r="V461" i="4" s="1"/>
  <c r="T461" i="4"/>
  <c r="S461" i="4"/>
  <c r="L461" i="4"/>
  <c r="K461" i="4"/>
  <c r="AC460" i="4"/>
  <c r="X460" i="4"/>
  <c r="W460" i="4"/>
  <c r="V460" i="4"/>
  <c r="U460" i="4"/>
  <c r="T460" i="4"/>
  <c r="S460" i="4"/>
  <c r="L460" i="4"/>
  <c r="K460" i="4"/>
  <c r="AC459" i="4"/>
  <c r="X459" i="4"/>
  <c r="W459" i="4"/>
  <c r="U459" i="4"/>
  <c r="V459" i="4" s="1"/>
  <c r="T459" i="4"/>
  <c r="S459" i="4"/>
  <c r="L459" i="4"/>
  <c r="K459" i="4"/>
  <c r="AC458" i="4"/>
  <c r="X458" i="4"/>
  <c r="W458" i="4"/>
  <c r="U458" i="4"/>
  <c r="V458" i="4" s="1"/>
  <c r="T458" i="4"/>
  <c r="S458" i="4"/>
  <c r="L458" i="4"/>
  <c r="K458" i="4"/>
  <c r="AC457" i="4"/>
  <c r="X457" i="4"/>
  <c r="W457" i="4"/>
  <c r="V457" i="4"/>
  <c r="U457" i="4"/>
  <c r="T457" i="4"/>
  <c r="S457" i="4"/>
  <c r="L457" i="4"/>
  <c r="K457" i="4"/>
  <c r="AC456" i="4"/>
  <c r="X456" i="4"/>
  <c r="W456" i="4"/>
  <c r="U456" i="4"/>
  <c r="V456" i="4" s="1"/>
  <c r="T456" i="4"/>
  <c r="S456" i="4"/>
  <c r="L456" i="4"/>
  <c r="K456" i="4"/>
  <c r="AC455" i="4"/>
  <c r="X455" i="4"/>
  <c r="W455" i="4"/>
  <c r="V455" i="4"/>
  <c r="U455" i="4"/>
  <c r="T455" i="4"/>
  <c r="S455" i="4"/>
  <c r="L455" i="4"/>
  <c r="K455" i="4"/>
  <c r="AC454" i="4"/>
  <c r="X454" i="4"/>
  <c r="W454" i="4"/>
  <c r="U454" i="4"/>
  <c r="V454" i="4" s="1"/>
  <c r="T454" i="4"/>
  <c r="S454" i="4"/>
  <c r="L454" i="4"/>
  <c r="K454" i="4"/>
  <c r="AC453" i="4"/>
  <c r="X453" i="4"/>
  <c r="W453" i="4"/>
  <c r="U453" i="4"/>
  <c r="V453" i="4" s="1"/>
  <c r="T453" i="4"/>
  <c r="S453" i="4"/>
  <c r="L453" i="4"/>
  <c r="K453" i="4"/>
  <c r="AC452" i="4"/>
  <c r="X452" i="4"/>
  <c r="W452" i="4"/>
  <c r="V452" i="4"/>
  <c r="U452" i="4"/>
  <c r="T452" i="4"/>
  <c r="S452" i="4"/>
  <c r="L452" i="4"/>
  <c r="K452" i="4"/>
  <c r="AC451" i="4"/>
  <c r="X451" i="4"/>
  <c r="W451" i="4"/>
  <c r="V451" i="4"/>
  <c r="U451" i="4"/>
  <c r="T451" i="4"/>
  <c r="S451" i="4"/>
  <c r="L451" i="4"/>
  <c r="K451" i="4"/>
  <c r="AC450" i="4"/>
  <c r="X450" i="4"/>
  <c r="W450" i="4"/>
  <c r="U450" i="4"/>
  <c r="V450" i="4" s="1"/>
  <c r="T450" i="4"/>
  <c r="S450" i="4"/>
  <c r="L450" i="4"/>
  <c r="K450" i="4"/>
  <c r="AC449" i="4"/>
  <c r="X449" i="4"/>
  <c r="W449" i="4"/>
  <c r="U449" i="4"/>
  <c r="V449" i="4" s="1"/>
  <c r="T449" i="4"/>
  <c r="S449" i="4"/>
  <c r="L449" i="4"/>
  <c r="K449" i="4"/>
  <c r="AC448" i="4"/>
  <c r="X448" i="4"/>
  <c r="W448" i="4"/>
  <c r="U448" i="4"/>
  <c r="V448" i="4" s="1"/>
  <c r="T448" i="4"/>
  <c r="S448" i="4"/>
  <c r="L448" i="4"/>
  <c r="K448" i="4"/>
  <c r="AC447" i="4"/>
  <c r="X447" i="4"/>
  <c r="W447" i="4"/>
  <c r="U447" i="4"/>
  <c r="V447" i="4" s="1"/>
  <c r="P445" i="4" s="1"/>
  <c r="T447" i="4"/>
  <c r="S447" i="4"/>
  <c r="L447" i="4"/>
  <c r="K447" i="4"/>
  <c r="AC446" i="4"/>
  <c r="X446" i="4"/>
  <c r="W446" i="4"/>
  <c r="U446" i="4"/>
  <c r="V446" i="4" s="1"/>
  <c r="T446" i="4"/>
  <c r="S446" i="4"/>
  <c r="L446" i="4"/>
  <c r="K446" i="4"/>
  <c r="AC445" i="4"/>
  <c r="X445" i="4"/>
  <c r="W445" i="4"/>
  <c r="U445" i="4"/>
  <c r="V445" i="4" s="1"/>
  <c r="T445" i="4"/>
  <c r="S445" i="4"/>
  <c r="L445" i="4"/>
  <c r="K445" i="4"/>
  <c r="AC444" i="4"/>
  <c r="X444" i="4"/>
  <c r="W444" i="4"/>
  <c r="V444" i="4"/>
  <c r="U444" i="4"/>
  <c r="T444" i="4"/>
  <c r="S444" i="4"/>
  <c r="L444" i="4"/>
  <c r="K444" i="4"/>
  <c r="AC443" i="4"/>
  <c r="X443" i="4"/>
  <c r="W443" i="4"/>
  <c r="U443" i="4"/>
  <c r="V443" i="4" s="1"/>
  <c r="T443" i="4"/>
  <c r="S443" i="4"/>
  <c r="L443" i="4"/>
  <c r="K443" i="4"/>
  <c r="AC442" i="4"/>
  <c r="X442" i="4"/>
  <c r="W442" i="4"/>
  <c r="U442" i="4"/>
  <c r="V442" i="4" s="1"/>
  <c r="T442" i="4"/>
  <c r="S442" i="4"/>
  <c r="L442" i="4"/>
  <c r="K442" i="4"/>
  <c r="AC441" i="4"/>
  <c r="X441" i="4"/>
  <c r="W441" i="4"/>
  <c r="V441" i="4"/>
  <c r="U441" i="4"/>
  <c r="T441" i="4"/>
  <c r="S441" i="4"/>
  <c r="L441" i="4"/>
  <c r="K441" i="4"/>
  <c r="AC440" i="4"/>
  <c r="X440" i="4"/>
  <c r="W440" i="4"/>
  <c r="U440" i="4"/>
  <c r="V440" i="4" s="1"/>
  <c r="T440" i="4"/>
  <c r="S440" i="4"/>
  <c r="L440" i="4"/>
  <c r="K440" i="4"/>
  <c r="AC439" i="4"/>
  <c r="X439" i="4"/>
  <c r="W439" i="4"/>
  <c r="V439" i="4"/>
  <c r="U439" i="4"/>
  <c r="T439" i="4"/>
  <c r="S439" i="4"/>
  <c r="L439" i="4"/>
  <c r="K439" i="4"/>
  <c r="AC438" i="4"/>
  <c r="X438" i="4"/>
  <c r="W438" i="4"/>
  <c r="U438" i="4"/>
  <c r="V438" i="4" s="1"/>
  <c r="T438" i="4"/>
  <c r="S438" i="4"/>
  <c r="L438" i="4"/>
  <c r="K438" i="4"/>
  <c r="AC437" i="4"/>
  <c r="X437" i="4"/>
  <c r="W437" i="4"/>
  <c r="U437" i="4"/>
  <c r="V437" i="4" s="1"/>
  <c r="T437" i="4"/>
  <c r="S437" i="4"/>
  <c r="L437" i="4"/>
  <c r="K437" i="4"/>
  <c r="AC436" i="4"/>
  <c r="X436" i="4"/>
  <c r="W436" i="4"/>
  <c r="V436" i="4"/>
  <c r="U436" i="4"/>
  <c r="T436" i="4"/>
  <c r="S436" i="4"/>
  <c r="L436" i="4"/>
  <c r="K436" i="4"/>
  <c r="AC435" i="4"/>
  <c r="X435" i="4"/>
  <c r="W435" i="4"/>
  <c r="U435" i="4"/>
  <c r="V435" i="4" s="1"/>
  <c r="T435" i="4"/>
  <c r="S435" i="4"/>
  <c r="L435" i="4"/>
  <c r="K435" i="4"/>
  <c r="AC434" i="4"/>
  <c r="X434" i="4"/>
  <c r="W434" i="4"/>
  <c r="U434" i="4"/>
  <c r="V434" i="4" s="1"/>
  <c r="T434" i="4"/>
  <c r="S434" i="4"/>
  <c r="L434" i="4"/>
  <c r="K434" i="4"/>
  <c r="AC433" i="4"/>
  <c r="X433" i="4"/>
  <c r="W433" i="4"/>
  <c r="U433" i="4"/>
  <c r="V433" i="4" s="1"/>
  <c r="T433" i="4"/>
  <c r="S433" i="4"/>
  <c r="L433" i="4"/>
  <c r="K433" i="4"/>
  <c r="AC432" i="4"/>
  <c r="X432" i="4"/>
  <c r="W432" i="4"/>
  <c r="U432" i="4"/>
  <c r="V432" i="4" s="1"/>
  <c r="T432" i="4"/>
  <c r="S432" i="4"/>
  <c r="L432" i="4"/>
  <c r="K432" i="4"/>
  <c r="AC431" i="4"/>
  <c r="X431" i="4"/>
  <c r="W431" i="4"/>
  <c r="U431" i="4"/>
  <c r="V431" i="4" s="1"/>
  <c r="T431" i="4"/>
  <c r="S431" i="4"/>
  <c r="L431" i="4"/>
  <c r="K431" i="4"/>
  <c r="AC430" i="4"/>
  <c r="X430" i="4"/>
  <c r="W430" i="4"/>
  <c r="U430" i="4"/>
  <c r="V430" i="4" s="1"/>
  <c r="T430" i="4"/>
  <c r="S430" i="4"/>
  <c r="L430" i="4"/>
  <c r="K430" i="4"/>
  <c r="AC429" i="4"/>
  <c r="X429" i="4"/>
  <c r="W429" i="4"/>
  <c r="U429" i="4"/>
  <c r="V429" i="4" s="1"/>
  <c r="T429" i="4"/>
  <c r="S429" i="4"/>
  <c r="P429" i="4"/>
  <c r="L429" i="4"/>
  <c r="K429" i="4"/>
  <c r="AC428" i="4"/>
  <c r="X428" i="4"/>
  <c r="W428" i="4"/>
  <c r="V428" i="4"/>
  <c r="U428" i="4"/>
  <c r="T428" i="4"/>
  <c r="S428" i="4"/>
  <c r="L428" i="4"/>
  <c r="K428" i="4"/>
  <c r="AC427" i="4"/>
  <c r="X427" i="4"/>
  <c r="W427" i="4"/>
  <c r="U427" i="4"/>
  <c r="V427" i="4" s="1"/>
  <c r="P427" i="4" s="1"/>
  <c r="T427" i="4"/>
  <c r="S427" i="4"/>
  <c r="L427" i="4"/>
  <c r="K427" i="4"/>
  <c r="AC426" i="4"/>
  <c r="X426" i="4"/>
  <c r="W426" i="4"/>
  <c r="U426" i="4"/>
  <c r="V426" i="4" s="1"/>
  <c r="T426" i="4"/>
  <c r="S426" i="4"/>
  <c r="L426" i="4"/>
  <c r="K426" i="4"/>
  <c r="AC425" i="4"/>
  <c r="X425" i="4"/>
  <c r="W425" i="4"/>
  <c r="V425" i="4"/>
  <c r="P425" i="4" s="1"/>
  <c r="U425" i="4"/>
  <c r="T425" i="4"/>
  <c r="S425" i="4"/>
  <c r="L425" i="4"/>
  <c r="K425" i="4"/>
  <c r="AC424" i="4"/>
  <c r="X424" i="4"/>
  <c r="W424" i="4"/>
  <c r="U424" i="4"/>
  <c r="V424" i="4" s="1"/>
  <c r="T424" i="4"/>
  <c r="S424" i="4"/>
  <c r="L424" i="4"/>
  <c r="K424" i="4"/>
  <c r="AC423" i="4"/>
  <c r="X423" i="4"/>
  <c r="W423" i="4"/>
  <c r="V423" i="4"/>
  <c r="U423" i="4"/>
  <c r="T423" i="4"/>
  <c r="S423" i="4"/>
  <c r="L423" i="4"/>
  <c r="K423" i="4"/>
  <c r="AC422" i="4"/>
  <c r="X422" i="4"/>
  <c r="W422" i="4"/>
  <c r="U422" i="4"/>
  <c r="V422" i="4" s="1"/>
  <c r="T422" i="4"/>
  <c r="S422" i="4"/>
  <c r="L422" i="4"/>
  <c r="K422" i="4"/>
  <c r="AC421" i="4"/>
  <c r="X421" i="4"/>
  <c r="W421" i="4"/>
  <c r="U421" i="4"/>
  <c r="V421" i="4" s="1"/>
  <c r="T421" i="4"/>
  <c r="S421" i="4"/>
  <c r="L421" i="4"/>
  <c r="K421" i="4"/>
  <c r="AC420" i="4"/>
  <c r="X420" i="4"/>
  <c r="W420" i="4"/>
  <c r="V420" i="4"/>
  <c r="U420" i="4"/>
  <c r="T420" i="4"/>
  <c r="S420" i="4"/>
  <c r="L420" i="4"/>
  <c r="K420" i="4"/>
  <c r="AC419" i="4"/>
  <c r="X419" i="4"/>
  <c r="W419" i="4"/>
  <c r="U419" i="4"/>
  <c r="V419" i="4" s="1"/>
  <c r="T419" i="4"/>
  <c r="S419" i="4"/>
  <c r="L419" i="4"/>
  <c r="K419" i="4"/>
  <c r="AC418" i="4"/>
  <c r="X418" i="4"/>
  <c r="W418" i="4"/>
  <c r="U418" i="4"/>
  <c r="V418" i="4" s="1"/>
  <c r="T418" i="4"/>
  <c r="S418" i="4"/>
  <c r="L418" i="4"/>
  <c r="K418" i="4"/>
  <c r="AC417" i="4"/>
  <c r="X417" i="4"/>
  <c r="W417" i="4"/>
  <c r="U417" i="4"/>
  <c r="V417" i="4" s="1"/>
  <c r="T417" i="4"/>
  <c r="S417" i="4"/>
  <c r="L417" i="4"/>
  <c r="K417" i="4"/>
  <c r="AC416" i="4"/>
  <c r="X416" i="4"/>
  <c r="W416" i="4"/>
  <c r="U416" i="4"/>
  <c r="V416" i="4" s="1"/>
  <c r="T416" i="4"/>
  <c r="S416" i="4"/>
  <c r="L416" i="4"/>
  <c r="K416" i="4"/>
  <c r="AC415" i="4"/>
  <c r="X415" i="4"/>
  <c r="W415" i="4"/>
  <c r="U415" i="4"/>
  <c r="V415" i="4" s="1"/>
  <c r="T415" i="4"/>
  <c r="S415" i="4"/>
  <c r="L415" i="4"/>
  <c r="K415" i="4"/>
  <c r="AC414" i="4"/>
  <c r="X414" i="4"/>
  <c r="W414" i="4"/>
  <c r="U414" i="4"/>
  <c r="V414" i="4" s="1"/>
  <c r="T414" i="4"/>
  <c r="S414" i="4"/>
  <c r="L414" i="4"/>
  <c r="K414" i="4"/>
  <c r="AC413" i="4"/>
  <c r="X413" i="4"/>
  <c r="W413" i="4"/>
  <c r="U413" i="4"/>
  <c r="V413" i="4" s="1"/>
  <c r="T413" i="4"/>
  <c r="S413" i="4"/>
  <c r="L413" i="4"/>
  <c r="K413" i="4"/>
  <c r="AC412" i="4"/>
  <c r="X412" i="4"/>
  <c r="W412" i="4"/>
  <c r="V412" i="4"/>
  <c r="U412" i="4"/>
  <c r="T412" i="4"/>
  <c r="S412" i="4"/>
  <c r="L412" i="4"/>
  <c r="K412" i="4"/>
  <c r="AC411" i="4"/>
  <c r="X411" i="4"/>
  <c r="W411" i="4"/>
  <c r="U411" i="4"/>
  <c r="V411" i="4" s="1"/>
  <c r="P411" i="4" s="1"/>
  <c r="T411" i="4"/>
  <c r="S411" i="4"/>
  <c r="L411" i="4"/>
  <c r="K411" i="4"/>
  <c r="AC410" i="4"/>
  <c r="X410" i="4"/>
  <c r="W410" i="4"/>
  <c r="U410" i="4"/>
  <c r="V410" i="4" s="1"/>
  <c r="T410" i="4"/>
  <c r="S410" i="4"/>
  <c r="L410" i="4"/>
  <c r="K410" i="4"/>
  <c r="AC409" i="4"/>
  <c r="X409" i="4"/>
  <c r="W409" i="4"/>
  <c r="V409" i="4"/>
  <c r="U409" i="4"/>
  <c r="T409" i="4"/>
  <c r="S409" i="4"/>
  <c r="L409" i="4"/>
  <c r="K409" i="4"/>
  <c r="AC408" i="4"/>
  <c r="X408" i="4"/>
  <c r="W408" i="4"/>
  <c r="U408" i="4"/>
  <c r="V408" i="4" s="1"/>
  <c r="T408" i="4"/>
  <c r="S408" i="4"/>
  <c r="L408" i="4"/>
  <c r="K408" i="4"/>
  <c r="AC407" i="4"/>
  <c r="X407" i="4"/>
  <c r="W407" i="4"/>
  <c r="V407" i="4"/>
  <c r="P369" i="4" s="1"/>
  <c r="U407" i="4"/>
  <c r="T407" i="4"/>
  <c r="S407" i="4"/>
  <c r="L407" i="4"/>
  <c r="K407" i="4"/>
  <c r="AC406" i="4"/>
  <c r="X406" i="4"/>
  <c r="W406" i="4"/>
  <c r="U406" i="4"/>
  <c r="V406" i="4" s="1"/>
  <c r="P405" i="4" s="1"/>
  <c r="T406" i="4"/>
  <c r="S406" i="4"/>
  <c r="L406" i="4"/>
  <c r="K406" i="4"/>
  <c r="AC405" i="4"/>
  <c r="X405" i="4"/>
  <c r="W405" i="4"/>
  <c r="U405" i="4"/>
  <c r="V405" i="4" s="1"/>
  <c r="T405" i="4"/>
  <c r="S405" i="4"/>
  <c r="L405" i="4"/>
  <c r="K405" i="4"/>
  <c r="AC404" i="4"/>
  <c r="X404" i="4"/>
  <c r="W404" i="4"/>
  <c r="V404" i="4"/>
  <c r="U404" i="4"/>
  <c r="T404" i="4"/>
  <c r="S404" i="4"/>
  <c r="L404" i="4"/>
  <c r="K404" i="4"/>
  <c r="AC403" i="4"/>
  <c r="X403" i="4"/>
  <c r="W403" i="4"/>
  <c r="U403" i="4"/>
  <c r="V403" i="4" s="1"/>
  <c r="T403" i="4"/>
  <c r="S403" i="4"/>
  <c r="L403" i="4"/>
  <c r="K403" i="4"/>
  <c r="AC402" i="4"/>
  <c r="X402" i="4"/>
  <c r="W402" i="4"/>
  <c r="U402" i="4"/>
  <c r="V402" i="4" s="1"/>
  <c r="T402" i="4"/>
  <c r="S402" i="4"/>
  <c r="L402" i="4"/>
  <c r="K402" i="4"/>
  <c r="AC401" i="4"/>
  <c r="X401" i="4"/>
  <c r="W401" i="4"/>
  <c r="U401" i="4"/>
  <c r="V401" i="4" s="1"/>
  <c r="P397" i="4" s="1"/>
  <c r="T401" i="4"/>
  <c r="S401" i="4"/>
  <c r="L401" i="4"/>
  <c r="K401" i="4"/>
  <c r="AC400" i="4"/>
  <c r="X400" i="4"/>
  <c r="W400" i="4"/>
  <c r="U400" i="4"/>
  <c r="V400" i="4" s="1"/>
  <c r="T400" i="4"/>
  <c r="S400" i="4"/>
  <c r="L400" i="4"/>
  <c r="K400" i="4"/>
  <c r="AC399" i="4"/>
  <c r="X399" i="4"/>
  <c r="W399" i="4"/>
  <c r="V399" i="4"/>
  <c r="U399" i="4"/>
  <c r="T399" i="4"/>
  <c r="S399" i="4"/>
  <c r="L399" i="4"/>
  <c r="K399" i="4"/>
  <c r="AC398" i="4"/>
  <c r="X398" i="4"/>
  <c r="W398" i="4"/>
  <c r="U398" i="4"/>
  <c r="V398" i="4" s="1"/>
  <c r="T398" i="4"/>
  <c r="S398" i="4"/>
  <c r="L398" i="4"/>
  <c r="K398" i="4"/>
  <c r="AC397" i="4"/>
  <c r="X397" i="4"/>
  <c r="W397" i="4"/>
  <c r="U397" i="4"/>
  <c r="V397" i="4" s="1"/>
  <c r="T397" i="4"/>
  <c r="S397" i="4"/>
  <c r="L397" i="4"/>
  <c r="K397" i="4"/>
  <c r="AC396" i="4"/>
  <c r="X396" i="4"/>
  <c r="W396" i="4"/>
  <c r="V396" i="4"/>
  <c r="U396" i="4"/>
  <c r="T396" i="4"/>
  <c r="S396" i="4"/>
  <c r="L396" i="4"/>
  <c r="K396" i="4"/>
  <c r="AC395" i="4"/>
  <c r="X395" i="4"/>
  <c r="W395" i="4"/>
  <c r="U395" i="4"/>
  <c r="V395" i="4" s="1"/>
  <c r="P395" i="4" s="1"/>
  <c r="T395" i="4"/>
  <c r="S395" i="4"/>
  <c r="L395" i="4"/>
  <c r="K395" i="4"/>
  <c r="AC394" i="4"/>
  <c r="X394" i="4"/>
  <c r="W394" i="4"/>
  <c r="U394" i="4"/>
  <c r="V394" i="4" s="1"/>
  <c r="T394" i="4"/>
  <c r="S394" i="4"/>
  <c r="L394" i="4"/>
  <c r="K394" i="4"/>
  <c r="AC393" i="4"/>
  <c r="X393" i="4"/>
  <c r="W393" i="4"/>
  <c r="V393" i="4"/>
  <c r="U393" i="4"/>
  <c r="T393" i="4"/>
  <c r="S393" i="4"/>
  <c r="L393" i="4"/>
  <c r="K393" i="4"/>
  <c r="AC392" i="4"/>
  <c r="X392" i="4"/>
  <c r="W392" i="4"/>
  <c r="U392" i="4"/>
  <c r="V392" i="4" s="1"/>
  <c r="T392" i="4"/>
  <c r="S392" i="4"/>
  <c r="L392" i="4"/>
  <c r="K392" i="4"/>
  <c r="AC391" i="4"/>
  <c r="X391" i="4"/>
  <c r="W391" i="4"/>
  <c r="V391" i="4"/>
  <c r="U391" i="4"/>
  <c r="T391" i="4"/>
  <c r="S391" i="4"/>
  <c r="L391" i="4"/>
  <c r="K391" i="4"/>
  <c r="AC390" i="4"/>
  <c r="X390" i="4"/>
  <c r="W390" i="4"/>
  <c r="U390" i="4"/>
  <c r="V390" i="4" s="1"/>
  <c r="T390" i="4"/>
  <c r="S390" i="4"/>
  <c r="L390" i="4"/>
  <c r="K390" i="4"/>
  <c r="AC389" i="4"/>
  <c r="X389" i="4"/>
  <c r="W389" i="4"/>
  <c r="U389" i="4"/>
  <c r="V389" i="4" s="1"/>
  <c r="T389" i="4"/>
  <c r="S389" i="4"/>
  <c r="L389" i="4"/>
  <c r="K389" i="4"/>
  <c r="AC388" i="4"/>
  <c r="X388" i="4"/>
  <c r="W388" i="4"/>
  <c r="V388" i="4"/>
  <c r="U388" i="4"/>
  <c r="T388" i="4"/>
  <c r="S388" i="4"/>
  <c r="L388" i="4"/>
  <c r="K388" i="4"/>
  <c r="AC387" i="4"/>
  <c r="X387" i="4"/>
  <c r="W387" i="4"/>
  <c r="V387" i="4"/>
  <c r="U387" i="4"/>
  <c r="T387" i="4"/>
  <c r="S387" i="4"/>
  <c r="L387" i="4"/>
  <c r="K387" i="4"/>
  <c r="AC386" i="4"/>
  <c r="X386" i="4"/>
  <c r="W386" i="4"/>
  <c r="U386" i="4"/>
  <c r="V386" i="4" s="1"/>
  <c r="T386" i="4"/>
  <c r="S386" i="4"/>
  <c r="L386" i="4"/>
  <c r="K386" i="4"/>
  <c r="AC385" i="4"/>
  <c r="X385" i="4"/>
  <c r="W385" i="4"/>
  <c r="V385" i="4"/>
  <c r="U385" i="4"/>
  <c r="T385" i="4"/>
  <c r="S385" i="4"/>
  <c r="L385" i="4"/>
  <c r="K385" i="4"/>
  <c r="AC384" i="4"/>
  <c r="X384" i="4"/>
  <c r="W384" i="4"/>
  <c r="U384" i="4"/>
  <c r="V384" i="4" s="1"/>
  <c r="T384" i="4"/>
  <c r="S384" i="4"/>
  <c r="L384" i="4"/>
  <c r="K384" i="4"/>
  <c r="AC383" i="4"/>
  <c r="X383" i="4"/>
  <c r="W383" i="4"/>
  <c r="U383" i="4"/>
  <c r="V383" i="4" s="1"/>
  <c r="T383" i="4"/>
  <c r="S383" i="4"/>
  <c r="L383" i="4"/>
  <c r="K383" i="4"/>
  <c r="AC382" i="4"/>
  <c r="X382" i="4"/>
  <c r="W382" i="4"/>
  <c r="U382" i="4"/>
  <c r="V382" i="4" s="1"/>
  <c r="T382" i="4"/>
  <c r="S382" i="4"/>
  <c r="L382" i="4"/>
  <c r="K382" i="4"/>
  <c r="AC381" i="4"/>
  <c r="X381" i="4"/>
  <c r="W381" i="4"/>
  <c r="U381" i="4"/>
  <c r="V381" i="4" s="1"/>
  <c r="T381" i="4"/>
  <c r="S381" i="4"/>
  <c r="L381" i="4"/>
  <c r="K381" i="4"/>
  <c r="AC380" i="4"/>
  <c r="X380" i="4"/>
  <c r="W380" i="4"/>
  <c r="V380" i="4"/>
  <c r="U380" i="4"/>
  <c r="T380" i="4"/>
  <c r="S380" i="4"/>
  <c r="L380" i="4"/>
  <c r="K380" i="4"/>
  <c r="AC379" i="4"/>
  <c r="X379" i="4"/>
  <c r="W379" i="4"/>
  <c r="U379" i="4"/>
  <c r="V379" i="4" s="1"/>
  <c r="T379" i="4"/>
  <c r="S379" i="4"/>
  <c r="L379" i="4"/>
  <c r="K379" i="4"/>
  <c r="AC378" i="4"/>
  <c r="X378" i="4"/>
  <c r="W378" i="4"/>
  <c r="V378" i="4"/>
  <c r="U378" i="4"/>
  <c r="T378" i="4"/>
  <c r="S378" i="4"/>
  <c r="L378" i="4"/>
  <c r="K378" i="4"/>
  <c r="AC377" i="4"/>
  <c r="X377" i="4"/>
  <c r="W377" i="4"/>
  <c r="U377" i="4"/>
  <c r="V377" i="4" s="1"/>
  <c r="T377" i="4"/>
  <c r="S377" i="4"/>
  <c r="L377" i="4"/>
  <c r="K377" i="4"/>
  <c r="AC376" i="4"/>
  <c r="X376" i="4"/>
  <c r="W376" i="4"/>
  <c r="U376" i="4"/>
  <c r="V376" i="4" s="1"/>
  <c r="T376" i="4"/>
  <c r="S376" i="4"/>
  <c r="L376" i="4"/>
  <c r="K376" i="4"/>
  <c r="AC375" i="4"/>
  <c r="X375" i="4"/>
  <c r="W375" i="4"/>
  <c r="U375" i="4"/>
  <c r="V375" i="4" s="1"/>
  <c r="T375" i="4"/>
  <c r="S375" i="4"/>
  <c r="L375" i="4"/>
  <c r="K375" i="4"/>
  <c r="AC374" i="4"/>
  <c r="X374" i="4"/>
  <c r="W374" i="4"/>
  <c r="U374" i="4"/>
  <c r="V374" i="4" s="1"/>
  <c r="P373" i="4" s="1"/>
  <c r="T374" i="4"/>
  <c r="S374" i="4"/>
  <c r="L374" i="4"/>
  <c r="K374" i="4"/>
  <c r="AC373" i="4"/>
  <c r="X373" i="4"/>
  <c r="W373" i="4"/>
  <c r="U373" i="4"/>
  <c r="V373" i="4" s="1"/>
  <c r="T373" i="4"/>
  <c r="S373" i="4"/>
  <c r="L373" i="4"/>
  <c r="K373" i="4"/>
  <c r="AC372" i="4"/>
  <c r="X372" i="4"/>
  <c r="W372" i="4"/>
  <c r="U372" i="4"/>
  <c r="V372" i="4" s="1"/>
  <c r="T372" i="4"/>
  <c r="S372" i="4"/>
  <c r="L372" i="4"/>
  <c r="K372" i="4"/>
  <c r="AC371" i="4"/>
  <c r="X371" i="4"/>
  <c r="W371" i="4"/>
  <c r="V371" i="4"/>
  <c r="P371" i="4" s="1"/>
  <c r="U371" i="4"/>
  <c r="T371" i="4"/>
  <c r="S371" i="4"/>
  <c r="L371" i="4"/>
  <c r="K371" i="4"/>
  <c r="AC370" i="4"/>
  <c r="X370" i="4"/>
  <c r="W370" i="4"/>
  <c r="V370" i="4"/>
  <c r="U370" i="4"/>
  <c r="T370" i="4"/>
  <c r="S370" i="4"/>
  <c r="L370" i="4"/>
  <c r="K370" i="4"/>
  <c r="AC369" i="4"/>
  <c r="X369" i="4"/>
  <c r="W369" i="4"/>
  <c r="U369" i="4"/>
  <c r="V369" i="4" s="1"/>
  <c r="T369" i="4"/>
  <c r="S369" i="4"/>
  <c r="L369" i="4"/>
  <c r="K369" i="4"/>
  <c r="AC368" i="4"/>
  <c r="X368" i="4"/>
  <c r="W368" i="4"/>
  <c r="U368" i="4"/>
  <c r="V368" i="4" s="1"/>
  <c r="T368" i="4"/>
  <c r="S368" i="4"/>
  <c r="L368" i="4"/>
  <c r="K368" i="4"/>
  <c r="AC367" i="4"/>
  <c r="X367" i="4"/>
  <c r="W367" i="4"/>
  <c r="V367" i="4"/>
  <c r="U367" i="4"/>
  <c r="T367" i="4"/>
  <c r="S367" i="4"/>
  <c r="L367" i="4"/>
  <c r="K367" i="4"/>
  <c r="AC366" i="4"/>
  <c r="X366" i="4"/>
  <c r="W366" i="4"/>
  <c r="U366" i="4"/>
  <c r="V366" i="4" s="1"/>
  <c r="T366" i="4"/>
  <c r="S366" i="4"/>
  <c r="L366" i="4"/>
  <c r="K366" i="4"/>
  <c r="AC365" i="4"/>
  <c r="X365" i="4"/>
  <c r="W365" i="4"/>
  <c r="U365" i="4"/>
  <c r="V365" i="4" s="1"/>
  <c r="T365" i="4"/>
  <c r="S365" i="4"/>
  <c r="L365" i="4"/>
  <c r="K365" i="4"/>
  <c r="AC364" i="4"/>
  <c r="X364" i="4"/>
  <c r="W364" i="4"/>
  <c r="V364" i="4"/>
  <c r="U364" i="4"/>
  <c r="T364" i="4"/>
  <c r="S364" i="4"/>
  <c r="L364" i="4"/>
  <c r="K364" i="4"/>
  <c r="AC363" i="4"/>
  <c r="X363" i="4"/>
  <c r="W363" i="4"/>
  <c r="V363" i="4"/>
  <c r="U363" i="4"/>
  <c r="T363" i="4"/>
  <c r="S363" i="4"/>
  <c r="L363" i="4"/>
  <c r="K363" i="4"/>
  <c r="AC362" i="4"/>
  <c r="X362" i="4"/>
  <c r="W362" i="4"/>
  <c r="U362" i="4"/>
  <c r="V362" i="4" s="1"/>
  <c r="P362" i="4" s="1"/>
  <c r="T362" i="4"/>
  <c r="S362" i="4"/>
  <c r="L362" i="4"/>
  <c r="K362" i="4"/>
  <c r="AC361" i="4"/>
  <c r="X361" i="4"/>
  <c r="W361" i="4"/>
  <c r="V361" i="4"/>
  <c r="U361" i="4"/>
  <c r="T361" i="4"/>
  <c r="S361" i="4"/>
  <c r="L361" i="4"/>
  <c r="K361" i="4"/>
  <c r="AC360" i="4"/>
  <c r="X360" i="4"/>
  <c r="W360" i="4"/>
  <c r="U360" i="4"/>
  <c r="V360" i="4" s="1"/>
  <c r="T360" i="4"/>
  <c r="S360" i="4"/>
  <c r="L360" i="4"/>
  <c r="K360" i="4"/>
  <c r="AC359" i="4"/>
  <c r="X359" i="4"/>
  <c r="W359" i="4"/>
  <c r="V359" i="4"/>
  <c r="U359" i="4"/>
  <c r="T359" i="4"/>
  <c r="S359" i="4"/>
  <c r="L359" i="4"/>
  <c r="K359" i="4"/>
  <c r="AC358" i="4"/>
  <c r="X358" i="4"/>
  <c r="W358" i="4"/>
  <c r="U358" i="4"/>
  <c r="V358" i="4" s="1"/>
  <c r="T358" i="4"/>
  <c r="S358" i="4"/>
  <c r="L358" i="4"/>
  <c r="K358" i="4"/>
  <c r="AC357" i="4"/>
  <c r="X357" i="4"/>
  <c r="W357" i="4"/>
  <c r="U357" i="4"/>
  <c r="V357" i="4" s="1"/>
  <c r="T357" i="4"/>
  <c r="S357" i="4"/>
  <c r="L357" i="4"/>
  <c r="K357" i="4"/>
  <c r="AC356" i="4"/>
  <c r="X356" i="4"/>
  <c r="W356" i="4"/>
  <c r="V356" i="4"/>
  <c r="U356" i="4"/>
  <c r="T356" i="4"/>
  <c r="S356" i="4"/>
  <c r="L356" i="4"/>
  <c r="K356" i="4"/>
  <c r="AC355" i="4"/>
  <c r="X355" i="4"/>
  <c r="W355" i="4"/>
  <c r="U355" i="4"/>
  <c r="V355" i="4" s="1"/>
  <c r="T355" i="4"/>
  <c r="S355" i="4"/>
  <c r="L355" i="4"/>
  <c r="K355" i="4"/>
  <c r="AC354" i="4"/>
  <c r="X354" i="4"/>
  <c r="W354" i="4"/>
  <c r="U354" i="4"/>
  <c r="V354" i="4" s="1"/>
  <c r="T354" i="4"/>
  <c r="S354" i="4"/>
  <c r="L354" i="4"/>
  <c r="K354" i="4"/>
  <c r="AC353" i="4"/>
  <c r="X353" i="4"/>
  <c r="W353" i="4"/>
  <c r="V353" i="4"/>
  <c r="U353" i="4"/>
  <c r="T353" i="4"/>
  <c r="S353" i="4"/>
  <c r="L353" i="4"/>
  <c r="K353" i="4"/>
  <c r="AC352" i="4"/>
  <c r="X352" i="4"/>
  <c r="W352" i="4"/>
  <c r="U352" i="4"/>
  <c r="V352" i="4" s="1"/>
  <c r="T352" i="4"/>
  <c r="S352" i="4"/>
  <c r="L352" i="4"/>
  <c r="K352" i="4"/>
  <c r="AC351" i="4"/>
  <c r="X351" i="4"/>
  <c r="W351" i="4"/>
  <c r="U351" i="4"/>
  <c r="V351" i="4" s="1"/>
  <c r="T351" i="4"/>
  <c r="S351" i="4"/>
  <c r="L351" i="4"/>
  <c r="K351" i="4"/>
  <c r="AC350" i="4"/>
  <c r="X350" i="4"/>
  <c r="W350" i="4"/>
  <c r="U350" i="4"/>
  <c r="V350" i="4" s="1"/>
  <c r="T350" i="4"/>
  <c r="S350" i="4"/>
  <c r="L350" i="4"/>
  <c r="K350" i="4"/>
  <c r="AC349" i="4"/>
  <c r="X349" i="4"/>
  <c r="W349" i="4"/>
  <c r="U349" i="4"/>
  <c r="V349" i="4" s="1"/>
  <c r="T349" i="4"/>
  <c r="S349" i="4"/>
  <c r="L349" i="4"/>
  <c r="K349" i="4"/>
  <c r="AC348" i="4"/>
  <c r="X348" i="4"/>
  <c r="W348" i="4"/>
  <c r="V348" i="4"/>
  <c r="U348" i="4"/>
  <c r="T348" i="4"/>
  <c r="S348" i="4"/>
  <c r="L348" i="4"/>
  <c r="K348" i="4"/>
  <c r="AC347" i="4"/>
  <c r="X347" i="4"/>
  <c r="W347" i="4"/>
  <c r="U347" i="4"/>
  <c r="V347" i="4" s="1"/>
  <c r="P342" i="4" s="1"/>
  <c r="T347" i="4"/>
  <c r="S347" i="4"/>
  <c r="L347" i="4"/>
  <c r="K347" i="4"/>
  <c r="AC346" i="4"/>
  <c r="X346" i="4"/>
  <c r="W346" i="4"/>
  <c r="V346" i="4"/>
  <c r="U346" i="4"/>
  <c r="T346" i="4"/>
  <c r="S346" i="4"/>
  <c r="L346" i="4"/>
  <c r="K346" i="4"/>
  <c r="AC345" i="4"/>
  <c r="X345" i="4"/>
  <c r="W345" i="4"/>
  <c r="U345" i="4"/>
  <c r="V345" i="4" s="1"/>
  <c r="T345" i="4"/>
  <c r="S345" i="4"/>
  <c r="L345" i="4"/>
  <c r="K345" i="4"/>
  <c r="AC344" i="4"/>
  <c r="X344" i="4"/>
  <c r="W344" i="4"/>
  <c r="U344" i="4"/>
  <c r="V344" i="4" s="1"/>
  <c r="T344" i="4"/>
  <c r="S344" i="4"/>
  <c r="L344" i="4"/>
  <c r="K344" i="4"/>
  <c r="AC343" i="4"/>
  <c r="X343" i="4"/>
  <c r="W343" i="4"/>
  <c r="U343" i="4"/>
  <c r="V343" i="4" s="1"/>
  <c r="T343" i="4"/>
  <c r="S343" i="4"/>
  <c r="L343" i="4"/>
  <c r="K343" i="4"/>
  <c r="AC342" i="4"/>
  <c r="X342" i="4"/>
  <c r="W342" i="4"/>
  <c r="U342" i="4"/>
  <c r="V342" i="4" s="1"/>
  <c r="T342" i="4"/>
  <c r="S342" i="4"/>
  <c r="L342" i="4"/>
  <c r="K342" i="4"/>
  <c r="AC341" i="4"/>
  <c r="X341" i="4"/>
  <c r="W341" i="4"/>
  <c r="U341" i="4"/>
  <c r="V341" i="4" s="1"/>
  <c r="T341" i="4"/>
  <c r="S341" i="4"/>
  <c r="L341" i="4"/>
  <c r="K341" i="4"/>
  <c r="AC340" i="4"/>
  <c r="X340" i="4"/>
  <c r="W340" i="4"/>
  <c r="U340" i="4"/>
  <c r="V340" i="4" s="1"/>
  <c r="T340" i="4"/>
  <c r="S340" i="4"/>
  <c r="L340" i="4"/>
  <c r="K340" i="4"/>
  <c r="AC339" i="4"/>
  <c r="X339" i="4"/>
  <c r="W339" i="4"/>
  <c r="V339" i="4"/>
  <c r="U339" i="4"/>
  <c r="T339" i="4"/>
  <c r="S339" i="4"/>
  <c r="L339" i="4"/>
  <c r="K339" i="4"/>
  <c r="AC338" i="4"/>
  <c r="X338" i="4"/>
  <c r="W338" i="4"/>
  <c r="V338" i="4"/>
  <c r="U338" i="4"/>
  <c r="T338" i="4"/>
  <c r="S338" i="4"/>
  <c r="L338" i="4"/>
  <c r="K338" i="4"/>
  <c r="AC337" i="4"/>
  <c r="X337" i="4"/>
  <c r="W337" i="4"/>
  <c r="U337" i="4"/>
  <c r="V337" i="4" s="1"/>
  <c r="T337" i="4"/>
  <c r="S337" i="4"/>
  <c r="L337" i="4"/>
  <c r="K337" i="4"/>
  <c r="AC336" i="4"/>
  <c r="X336" i="4"/>
  <c r="W336" i="4"/>
  <c r="U336" i="4"/>
  <c r="V336" i="4" s="1"/>
  <c r="T336" i="4"/>
  <c r="S336" i="4"/>
  <c r="L336" i="4"/>
  <c r="K336" i="4"/>
  <c r="AC335" i="4"/>
  <c r="X335" i="4"/>
  <c r="W335" i="4"/>
  <c r="U335" i="4"/>
  <c r="V335" i="4" s="1"/>
  <c r="T335" i="4"/>
  <c r="S335" i="4"/>
  <c r="L335" i="4"/>
  <c r="K335" i="4"/>
  <c r="AC334" i="4"/>
  <c r="X334" i="4"/>
  <c r="W334" i="4"/>
  <c r="V334" i="4"/>
  <c r="U334" i="4"/>
  <c r="T334" i="4"/>
  <c r="S334" i="4"/>
  <c r="L334" i="4"/>
  <c r="K334" i="4"/>
  <c r="AC333" i="4"/>
  <c r="X333" i="4"/>
  <c r="W333" i="4"/>
  <c r="U333" i="4"/>
  <c r="V333" i="4" s="1"/>
  <c r="T333" i="4"/>
  <c r="S333" i="4"/>
  <c r="L333" i="4"/>
  <c r="K333" i="4"/>
  <c r="AC332" i="4"/>
  <c r="X332" i="4"/>
  <c r="W332" i="4"/>
  <c r="V332" i="4"/>
  <c r="U332" i="4"/>
  <c r="T332" i="4"/>
  <c r="S332" i="4"/>
  <c r="L332" i="4"/>
  <c r="K332" i="4"/>
  <c r="AC331" i="4"/>
  <c r="X331" i="4"/>
  <c r="W331" i="4"/>
  <c r="V331" i="4"/>
  <c r="U331" i="4"/>
  <c r="T331" i="4"/>
  <c r="S331" i="4"/>
  <c r="L331" i="4"/>
  <c r="K331" i="4"/>
  <c r="AC330" i="4"/>
  <c r="X330" i="4"/>
  <c r="W330" i="4"/>
  <c r="U330" i="4"/>
  <c r="V330" i="4" s="1"/>
  <c r="T330" i="4"/>
  <c r="S330" i="4"/>
  <c r="L330" i="4"/>
  <c r="K330" i="4"/>
  <c r="AC329" i="4"/>
  <c r="X329" i="4"/>
  <c r="W329" i="4"/>
  <c r="V329" i="4"/>
  <c r="U329" i="4"/>
  <c r="T329" i="4"/>
  <c r="S329" i="4"/>
  <c r="L329" i="4"/>
  <c r="K329" i="4"/>
  <c r="AC328" i="4"/>
  <c r="X328" i="4"/>
  <c r="W328" i="4"/>
  <c r="U328" i="4"/>
  <c r="V328" i="4" s="1"/>
  <c r="T328" i="4"/>
  <c r="S328" i="4"/>
  <c r="L328" i="4"/>
  <c r="K328" i="4"/>
  <c r="AC327" i="4"/>
  <c r="X327" i="4"/>
  <c r="W327" i="4"/>
  <c r="V327" i="4"/>
  <c r="U327" i="4"/>
  <c r="T327" i="4"/>
  <c r="S327" i="4"/>
  <c r="L327" i="4"/>
  <c r="K327" i="4"/>
  <c r="AC326" i="4"/>
  <c r="X326" i="4"/>
  <c r="W326" i="4"/>
  <c r="U326" i="4"/>
  <c r="V326" i="4" s="1"/>
  <c r="P326" i="4" s="1"/>
  <c r="T326" i="4"/>
  <c r="S326" i="4"/>
  <c r="L326" i="4"/>
  <c r="K326" i="4"/>
  <c r="AC325" i="4"/>
  <c r="X325" i="4"/>
  <c r="W325" i="4"/>
  <c r="U325" i="4"/>
  <c r="V325" i="4" s="1"/>
  <c r="T325" i="4"/>
  <c r="S325" i="4"/>
  <c r="L325" i="4"/>
  <c r="K325" i="4"/>
  <c r="AC324" i="4"/>
  <c r="X324" i="4"/>
  <c r="W324" i="4"/>
  <c r="U324" i="4"/>
  <c r="V324" i="4" s="1"/>
  <c r="P323" i="4" s="1"/>
  <c r="T324" i="4"/>
  <c r="S324" i="4"/>
  <c r="L324" i="4"/>
  <c r="K324" i="4"/>
  <c r="AC323" i="4"/>
  <c r="X323" i="4"/>
  <c r="W323" i="4"/>
  <c r="V323" i="4"/>
  <c r="U323" i="4"/>
  <c r="T323" i="4"/>
  <c r="S323" i="4"/>
  <c r="L323" i="4"/>
  <c r="K323" i="4"/>
  <c r="AC322" i="4"/>
  <c r="X322" i="4"/>
  <c r="W322" i="4"/>
  <c r="V322" i="4"/>
  <c r="U322" i="4"/>
  <c r="T322" i="4"/>
  <c r="S322" i="4"/>
  <c r="L322" i="4"/>
  <c r="K322" i="4"/>
  <c r="AC321" i="4"/>
  <c r="X321" i="4"/>
  <c r="W321" i="4"/>
  <c r="U321" i="4"/>
  <c r="V321" i="4" s="1"/>
  <c r="T321" i="4"/>
  <c r="S321" i="4"/>
  <c r="L321" i="4"/>
  <c r="K321" i="4"/>
  <c r="AC320" i="4"/>
  <c r="X320" i="4"/>
  <c r="W320" i="4"/>
  <c r="U320" i="4"/>
  <c r="V320" i="4" s="1"/>
  <c r="T320" i="4"/>
  <c r="S320" i="4"/>
  <c r="L320" i="4"/>
  <c r="K320" i="4"/>
  <c r="AC319" i="4"/>
  <c r="X319" i="4"/>
  <c r="W319" i="4"/>
  <c r="U319" i="4"/>
  <c r="V319" i="4" s="1"/>
  <c r="T319" i="4"/>
  <c r="S319" i="4"/>
  <c r="L319" i="4"/>
  <c r="K319" i="4"/>
  <c r="AC318" i="4"/>
  <c r="X318" i="4"/>
  <c r="W318" i="4"/>
  <c r="U318" i="4"/>
  <c r="V318" i="4" s="1"/>
  <c r="T318" i="4"/>
  <c r="S318" i="4"/>
  <c r="L318" i="4"/>
  <c r="K318" i="4"/>
  <c r="AC317" i="4"/>
  <c r="X317" i="4"/>
  <c r="W317" i="4"/>
  <c r="U317" i="4"/>
  <c r="V317" i="4" s="1"/>
  <c r="T317" i="4"/>
  <c r="S317" i="4"/>
  <c r="L317" i="4"/>
  <c r="K317" i="4"/>
  <c r="AC316" i="4"/>
  <c r="X316" i="4"/>
  <c r="W316" i="4"/>
  <c r="V316" i="4"/>
  <c r="U316" i="4"/>
  <c r="T316" i="4"/>
  <c r="S316" i="4"/>
  <c r="L316" i="4"/>
  <c r="K316" i="4"/>
  <c r="AC315" i="4"/>
  <c r="X315" i="4"/>
  <c r="W315" i="4"/>
  <c r="U315" i="4"/>
  <c r="V315" i="4" s="1"/>
  <c r="T315" i="4"/>
  <c r="S315" i="4"/>
  <c r="L315" i="4"/>
  <c r="K315" i="4"/>
  <c r="AC314" i="4"/>
  <c r="X314" i="4"/>
  <c r="W314" i="4"/>
  <c r="U314" i="4"/>
  <c r="V314" i="4" s="1"/>
  <c r="T314" i="4"/>
  <c r="S314" i="4"/>
  <c r="L314" i="4"/>
  <c r="K314" i="4"/>
  <c r="AC313" i="4"/>
  <c r="X313" i="4"/>
  <c r="W313" i="4"/>
  <c r="V313" i="4"/>
  <c r="U313" i="4"/>
  <c r="T313" i="4"/>
  <c r="S313" i="4"/>
  <c r="L313" i="4"/>
  <c r="K313" i="4"/>
  <c r="AC312" i="4"/>
  <c r="X312" i="4"/>
  <c r="W312" i="4"/>
  <c r="U312" i="4"/>
  <c r="V312" i="4" s="1"/>
  <c r="T312" i="4"/>
  <c r="S312" i="4"/>
  <c r="L312" i="4"/>
  <c r="K312" i="4"/>
  <c r="AC311" i="4"/>
  <c r="X311" i="4"/>
  <c r="W311" i="4"/>
  <c r="V311" i="4"/>
  <c r="U311" i="4"/>
  <c r="T311" i="4"/>
  <c r="S311" i="4"/>
  <c r="L311" i="4"/>
  <c r="K311" i="4"/>
  <c r="AC310" i="4"/>
  <c r="X310" i="4"/>
  <c r="W310" i="4"/>
  <c r="U310" i="4"/>
  <c r="V310" i="4" s="1"/>
  <c r="T310" i="4"/>
  <c r="S310" i="4"/>
  <c r="L310" i="4"/>
  <c r="K310" i="4"/>
  <c r="AC309" i="4"/>
  <c r="X309" i="4"/>
  <c r="W309" i="4"/>
  <c r="U309" i="4"/>
  <c r="V309" i="4" s="1"/>
  <c r="T309" i="4"/>
  <c r="S309" i="4"/>
  <c r="L309" i="4"/>
  <c r="K309" i="4"/>
  <c r="AC308" i="4"/>
  <c r="X308" i="4"/>
  <c r="W308" i="4"/>
  <c r="U308" i="4"/>
  <c r="V308" i="4" s="1"/>
  <c r="T308" i="4"/>
  <c r="S308" i="4"/>
  <c r="L308" i="4"/>
  <c r="K308" i="4"/>
  <c r="AC307" i="4"/>
  <c r="X307" i="4"/>
  <c r="W307" i="4"/>
  <c r="V307" i="4"/>
  <c r="U307" i="4"/>
  <c r="T307" i="4"/>
  <c r="S307" i="4"/>
  <c r="L307" i="4"/>
  <c r="K307" i="4"/>
  <c r="AC306" i="4"/>
  <c r="X306" i="4"/>
  <c r="W306" i="4"/>
  <c r="V306" i="4"/>
  <c r="U306" i="4"/>
  <c r="T306" i="4"/>
  <c r="S306" i="4"/>
  <c r="L306" i="4"/>
  <c r="K306" i="4"/>
  <c r="AC305" i="4"/>
  <c r="X305" i="4"/>
  <c r="W305" i="4"/>
  <c r="U305" i="4"/>
  <c r="V305" i="4" s="1"/>
  <c r="P305" i="4" s="1"/>
  <c r="T305" i="4"/>
  <c r="S305" i="4"/>
  <c r="L305" i="4"/>
  <c r="K305" i="4"/>
  <c r="AC304" i="4"/>
  <c r="X304" i="4"/>
  <c r="W304" i="4"/>
  <c r="U304" i="4"/>
  <c r="V304" i="4" s="1"/>
  <c r="T304" i="4"/>
  <c r="S304" i="4"/>
  <c r="L304" i="4"/>
  <c r="K304" i="4"/>
  <c r="AC303" i="4"/>
  <c r="X303" i="4"/>
  <c r="W303" i="4"/>
  <c r="U303" i="4"/>
  <c r="V303" i="4" s="1"/>
  <c r="P301" i="4" s="1"/>
  <c r="T303" i="4"/>
  <c r="S303" i="4"/>
  <c r="L303" i="4"/>
  <c r="K303" i="4"/>
  <c r="AC302" i="4"/>
  <c r="X302" i="4"/>
  <c r="W302" i="4"/>
  <c r="V302" i="4"/>
  <c r="U302" i="4"/>
  <c r="T302" i="4"/>
  <c r="S302" i="4"/>
  <c r="L302" i="4"/>
  <c r="K302" i="4"/>
  <c r="AC301" i="4"/>
  <c r="X301" i="4"/>
  <c r="W301" i="4"/>
  <c r="U301" i="4"/>
  <c r="V301" i="4" s="1"/>
  <c r="T301" i="4"/>
  <c r="S301" i="4"/>
  <c r="L301" i="4"/>
  <c r="K301" i="4"/>
  <c r="AC300" i="4"/>
  <c r="X300" i="4"/>
  <c r="W300" i="4"/>
  <c r="V300" i="4"/>
  <c r="U300" i="4"/>
  <c r="T300" i="4"/>
  <c r="S300" i="4"/>
  <c r="L300" i="4"/>
  <c r="K300" i="4"/>
  <c r="AC299" i="4"/>
  <c r="X299" i="4"/>
  <c r="W299" i="4"/>
  <c r="V299" i="4"/>
  <c r="U299" i="4"/>
  <c r="T299" i="4"/>
  <c r="S299" i="4"/>
  <c r="L299" i="4"/>
  <c r="K299" i="4"/>
  <c r="AC298" i="4"/>
  <c r="X298" i="4"/>
  <c r="W298" i="4"/>
  <c r="U298" i="4"/>
  <c r="V298" i="4" s="1"/>
  <c r="T298" i="4"/>
  <c r="S298" i="4"/>
  <c r="L298" i="4"/>
  <c r="K298" i="4"/>
  <c r="AC297" i="4"/>
  <c r="X297" i="4"/>
  <c r="W297" i="4"/>
  <c r="V297" i="4"/>
  <c r="U297" i="4"/>
  <c r="T297" i="4"/>
  <c r="S297" i="4"/>
  <c r="L297" i="4"/>
  <c r="K297" i="4"/>
  <c r="AC296" i="4"/>
  <c r="X296" i="4"/>
  <c r="W296" i="4"/>
  <c r="U296" i="4"/>
  <c r="V296" i="4" s="1"/>
  <c r="T296" i="4"/>
  <c r="S296" i="4"/>
  <c r="L296" i="4"/>
  <c r="K296" i="4"/>
  <c r="AC295" i="4"/>
  <c r="X295" i="4"/>
  <c r="W295" i="4"/>
  <c r="V295" i="4"/>
  <c r="U295" i="4"/>
  <c r="T295" i="4"/>
  <c r="S295" i="4"/>
  <c r="L295" i="4"/>
  <c r="K295" i="4"/>
  <c r="AC294" i="4"/>
  <c r="X294" i="4"/>
  <c r="W294" i="4"/>
  <c r="U294" i="4"/>
  <c r="V294" i="4" s="1"/>
  <c r="T294" i="4"/>
  <c r="S294" i="4"/>
  <c r="L294" i="4"/>
  <c r="K294" i="4"/>
  <c r="AC293" i="4"/>
  <c r="X293" i="4"/>
  <c r="W293" i="4"/>
  <c r="U293" i="4"/>
  <c r="V293" i="4" s="1"/>
  <c r="T293" i="4"/>
  <c r="S293" i="4"/>
  <c r="L293" i="4"/>
  <c r="K293" i="4"/>
  <c r="AC292" i="4"/>
  <c r="X292" i="4"/>
  <c r="W292" i="4"/>
  <c r="V292" i="4"/>
  <c r="U292" i="4"/>
  <c r="T292" i="4"/>
  <c r="S292" i="4"/>
  <c r="L292" i="4"/>
  <c r="K292" i="4"/>
  <c r="AC291" i="4"/>
  <c r="X291" i="4"/>
  <c r="W291" i="4"/>
  <c r="U291" i="4"/>
  <c r="V291" i="4" s="1"/>
  <c r="T291" i="4"/>
  <c r="S291" i="4"/>
  <c r="L291" i="4"/>
  <c r="K291" i="4"/>
  <c r="AC290" i="4"/>
  <c r="X290" i="4"/>
  <c r="W290" i="4"/>
  <c r="U290" i="4"/>
  <c r="V290" i="4" s="1"/>
  <c r="T290" i="4"/>
  <c r="S290" i="4"/>
  <c r="L290" i="4"/>
  <c r="K290" i="4"/>
  <c r="AC289" i="4"/>
  <c r="X289" i="4"/>
  <c r="W289" i="4"/>
  <c r="V289" i="4"/>
  <c r="U289" i="4"/>
  <c r="T289" i="4"/>
  <c r="S289" i="4"/>
  <c r="L289" i="4"/>
  <c r="K289" i="4"/>
  <c r="AC288" i="4"/>
  <c r="X288" i="4"/>
  <c r="W288" i="4"/>
  <c r="U288" i="4"/>
  <c r="V288" i="4" s="1"/>
  <c r="T288" i="4"/>
  <c r="S288" i="4"/>
  <c r="L288" i="4"/>
  <c r="K288" i="4"/>
  <c r="AC287" i="4"/>
  <c r="X287" i="4"/>
  <c r="W287" i="4"/>
  <c r="U287" i="4"/>
  <c r="V287" i="4" s="1"/>
  <c r="T287" i="4"/>
  <c r="S287" i="4"/>
  <c r="L287" i="4"/>
  <c r="K287" i="4"/>
  <c r="AC286" i="4"/>
  <c r="X286" i="4"/>
  <c r="W286" i="4"/>
  <c r="U286" i="4"/>
  <c r="V286" i="4" s="1"/>
  <c r="T286" i="4"/>
  <c r="S286" i="4"/>
  <c r="L286" i="4"/>
  <c r="K286" i="4"/>
  <c r="AC285" i="4"/>
  <c r="X285" i="4"/>
  <c r="W285" i="4"/>
  <c r="U285" i="4"/>
  <c r="V285" i="4" s="1"/>
  <c r="T285" i="4"/>
  <c r="S285" i="4"/>
  <c r="L285" i="4"/>
  <c r="K285" i="4"/>
  <c r="AC284" i="4"/>
  <c r="X284" i="4"/>
  <c r="W284" i="4"/>
  <c r="V284" i="4"/>
  <c r="U284" i="4"/>
  <c r="T284" i="4"/>
  <c r="S284" i="4"/>
  <c r="L284" i="4"/>
  <c r="K284" i="4"/>
  <c r="AC283" i="4"/>
  <c r="X283" i="4"/>
  <c r="W283" i="4"/>
  <c r="U283" i="4"/>
  <c r="V283" i="4" s="1"/>
  <c r="T283" i="4"/>
  <c r="S283" i="4"/>
  <c r="L283" i="4"/>
  <c r="K283" i="4"/>
  <c r="AC282" i="4"/>
  <c r="X282" i="4"/>
  <c r="W282" i="4"/>
  <c r="U282" i="4"/>
  <c r="V282" i="4" s="1"/>
  <c r="P282" i="4" s="1"/>
  <c r="T282" i="4"/>
  <c r="S282" i="4"/>
  <c r="L282" i="4"/>
  <c r="K282" i="4"/>
  <c r="AC281" i="4"/>
  <c r="X281" i="4"/>
  <c r="W281" i="4"/>
  <c r="V281" i="4"/>
  <c r="U281" i="4"/>
  <c r="T281" i="4"/>
  <c r="S281" i="4"/>
  <c r="L281" i="4"/>
  <c r="K281" i="4"/>
  <c r="AC280" i="4"/>
  <c r="X280" i="4"/>
  <c r="W280" i="4"/>
  <c r="V280" i="4"/>
  <c r="U280" i="4"/>
  <c r="T280" i="4"/>
  <c r="S280" i="4"/>
  <c r="L280" i="4"/>
  <c r="K280" i="4"/>
  <c r="AC279" i="4"/>
  <c r="X279" i="4"/>
  <c r="W279" i="4"/>
  <c r="U279" i="4"/>
  <c r="V279" i="4" s="1"/>
  <c r="T279" i="4"/>
  <c r="S279" i="4"/>
  <c r="L279" i="4"/>
  <c r="K279" i="4"/>
  <c r="AC278" i="4"/>
  <c r="X278" i="4"/>
  <c r="W278" i="4"/>
  <c r="U278" i="4"/>
  <c r="V278" i="4" s="1"/>
  <c r="T278" i="4"/>
  <c r="S278" i="4"/>
  <c r="L278" i="4"/>
  <c r="K278" i="4"/>
  <c r="AC277" i="4"/>
  <c r="X277" i="4"/>
  <c r="W277" i="4"/>
  <c r="U277" i="4"/>
  <c r="V277" i="4" s="1"/>
  <c r="T277" i="4"/>
  <c r="S277" i="4"/>
  <c r="L277" i="4"/>
  <c r="K277" i="4"/>
  <c r="AC276" i="4"/>
  <c r="X276" i="4"/>
  <c r="W276" i="4"/>
  <c r="V276" i="4"/>
  <c r="U276" i="4"/>
  <c r="T276" i="4"/>
  <c r="S276" i="4"/>
  <c r="L276" i="4"/>
  <c r="K276" i="4"/>
  <c r="AC275" i="4"/>
  <c r="X275" i="4"/>
  <c r="W275" i="4"/>
  <c r="U275" i="4"/>
  <c r="V275" i="4" s="1"/>
  <c r="T275" i="4"/>
  <c r="S275" i="4"/>
  <c r="L275" i="4"/>
  <c r="K275" i="4"/>
  <c r="AC274" i="4"/>
  <c r="X274" i="4"/>
  <c r="W274" i="4"/>
  <c r="U274" i="4"/>
  <c r="V274" i="4" s="1"/>
  <c r="T274" i="4"/>
  <c r="S274" i="4"/>
  <c r="L274" i="4"/>
  <c r="K274" i="4"/>
  <c r="AC273" i="4"/>
  <c r="X273" i="4"/>
  <c r="W273" i="4"/>
  <c r="V273" i="4"/>
  <c r="U273" i="4"/>
  <c r="T273" i="4"/>
  <c r="S273" i="4"/>
  <c r="L273" i="4"/>
  <c r="K273" i="4"/>
  <c r="AC272" i="4"/>
  <c r="X272" i="4"/>
  <c r="W272" i="4"/>
  <c r="V272" i="4"/>
  <c r="U272" i="4"/>
  <c r="T272" i="4"/>
  <c r="S272" i="4"/>
  <c r="L272" i="4"/>
  <c r="K272" i="4"/>
  <c r="AC271" i="4"/>
  <c r="X271" i="4"/>
  <c r="W271" i="4"/>
  <c r="U271" i="4"/>
  <c r="V271" i="4" s="1"/>
  <c r="T271" i="4"/>
  <c r="S271" i="4"/>
  <c r="L271" i="4"/>
  <c r="K271" i="4"/>
  <c r="AC270" i="4"/>
  <c r="X270" i="4"/>
  <c r="W270" i="4"/>
  <c r="U270" i="4"/>
  <c r="V270" i="4" s="1"/>
  <c r="T270" i="4"/>
  <c r="S270" i="4"/>
  <c r="L270" i="4"/>
  <c r="K270" i="4"/>
  <c r="AC269" i="4"/>
  <c r="X269" i="4"/>
  <c r="W269" i="4"/>
  <c r="U269" i="4"/>
  <c r="V269" i="4" s="1"/>
  <c r="T269" i="4"/>
  <c r="S269" i="4"/>
  <c r="L269" i="4"/>
  <c r="K269" i="4"/>
  <c r="AC268" i="4"/>
  <c r="X268" i="4"/>
  <c r="W268" i="4"/>
  <c r="U268" i="4"/>
  <c r="V268" i="4" s="1"/>
  <c r="T268" i="4"/>
  <c r="S268" i="4"/>
  <c r="L268" i="4"/>
  <c r="K268" i="4"/>
  <c r="AC267" i="4"/>
  <c r="X267" i="4"/>
  <c r="W267" i="4"/>
  <c r="U267" i="4"/>
  <c r="V267" i="4" s="1"/>
  <c r="T267" i="4"/>
  <c r="S267" i="4"/>
  <c r="L267" i="4"/>
  <c r="K267" i="4"/>
  <c r="AC266" i="4"/>
  <c r="X266" i="4"/>
  <c r="W266" i="4"/>
  <c r="U266" i="4"/>
  <c r="V266" i="4" s="1"/>
  <c r="T266" i="4"/>
  <c r="S266" i="4"/>
  <c r="L266" i="4"/>
  <c r="K266" i="4"/>
  <c r="AC265" i="4"/>
  <c r="X265" i="4"/>
  <c r="W265" i="4"/>
  <c r="U265" i="4"/>
  <c r="V265" i="4" s="1"/>
  <c r="T265" i="4"/>
  <c r="S265" i="4"/>
  <c r="L265" i="4"/>
  <c r="K265" i="4"/>
  <c r="AC264" i="4"/>
  <c r="X264" i="4"/>
  <c r="W264" i="4"/>
  <c r="U264" i="4"/>
  <c r="V264" i="4" s="1"/>
  <c r="T264" i="4"/>
  <c r="S264" i="4"/>
  <c r="L264" i="4"/>
  <c r="K264" i="4"/>
  <c r="AC263" i="4"/>
  <c r="X263" i="4"/>
  <c r="W263" i="4"/>
  <c r="U263" i="4"/>
  <c r="V263" i="4" s="1"/>
  <c r="T263" i="4"/>
  <c r="S263" i="4"/>
  <c r="L263" i="4"/>
  <c r="K263" i="4"/>
  <c r="AC262" i="4"/>
  <c r="X262" i="4"/>
  <c r="W262" i="4"/>
  <c r="U262" i="4"/>
  <c r="V262" i="4" s="1"/>
  <c r="T262" i="4"/>
  <c r="S262" i="4"/>
  <c r="L262" i="4"/>
  <c r="K262" i="4"/>
  <c r="AC261" i="4"/>
  <c r="X261" i="4"/>
  <c r="W261" i="4"/>
  <c r="U261" i="4"/>
  <c r="V261" i="4" s="1"/>
  <c r="T261" i="4"/>
  <c r="S261" i="4"/>
  <c r="L261" i="4"/>
  <c r="K261" i="4"/>
  <c r="AC260" i="4"/>
  <c r="X260" i="4"/>
  <c r="W260" i="4"/>
  <c r="U260" i="4"/>
  <c r="V260" i="4" s="1"/>
  <c r="T260" i="4"/>
  <c r="S260" i="4"/>
  <c r="L260" i="4"/>
  <c r="K260" i="4"/>
  <c r="AC259" i="4"/>
  <c r="X259" i="4"/>
  <c r="W259" i="4"/>
  <c r="U259" i="4"/>
  <c r="V259" i="4" s="1"/>
  <c r="T259" i="4"/>
  <c r="S259" i="4"/>
  <c r="L259" i="4"/>
  <c r="K259" i="4"/>
  <c r="AC258" i="4"/>
  <c r="X258" i="4"/>
  <c r="W258" i="4"/>
  <c r="U258" i="4"/>
  <c r="V258" i="4" s="1"/>
  <c r="T258" i="4"/>
  <c r="S258" i="4"/>
  <c r="L258" i="4"/>
  <c r="K258" i="4"/>
  <c r="AC257" i="4"/>
  <c r="X257" i="4"/>
  <c r="W257" i="4"/>
  <c r="V257" i="4"/>
  <c r="U257" i="4"/>
  <c r="T257" i="4"/>
  <c r="S257" i="4"/>
  <c r="L257" i="4"/>
  <c r="K257" i="4"/>
  <c r="AC256" i="4"/>
  <c r="X256" i="4"/>
  <c r="W256" i="4"/>
  <c r="V256" i="4"/>
  <c r="U256" i="4"/>
  <c r="T256" i="4"/>
  <c r="S256" i="4"/>
  <c r="L256" i="4"/>
  <c r="K256" i="4"/>
  <c r="AC255" i="4"/>
  <c r="X255" i="4"/>
  <c r="W255" i="4"/>
  <c r="U255" i="4"/>
  <c r="V255" i="4" s="1"/>
  <c r="T255" i="4"/>
  <c r="S255" i="4"/>
  <c r="L255" i="4"/>
  <c r="K255" i="4"/>
  <c r="AC254" i="4"/>
  <c r="X254" i="4"/>
  <c r="W254" i="4"/>
  <c r="U254" i="4"/>
  <c r="V254" i="4" s="1"/>
  <c r="T254" i="4"/>
  <c r="S254" i="4"/>
  <c r="L254" i="4"/>
  <c r="K254" i="4"/>
  <c r="AC253" i="4"/>
  <c r="X253" i="4"/>
  <c r="W253" i="4"/>
  <c r="U253" i="4"/>
  <c r="V253" i="4" s="1"/>
  <c r="T253" i="4"/>
  <c r="S253" i="4"/>
  <c r="L253" i="4"/>
  <c r="K253" i="4"/>
  <c r="AC252" i="4"/>
  <c r="X252" i="4"/>
  <c r="W252" i="4"/>
  <c r="U252" i="4"/>
  <c r="V252" i="4" s="1"/>
  <c r="T252" i="4"/>
  <c r="S252" i="4"/>
  <c r="L252" i="4"/>
  <c r="K252" i="4"/>
  <c r="AC251" i="4"/>
  <c r="X251" i="4"/>
  <c r="W251" i="4"/>
  <c r="U251" i="4"/>
  <c r="V251" i="4" s="1"/>
  <c r="T251" i="4"/>
  <c r="S251" i="4"/>
  <c r="L251" i="4"/>
  <c r="K251" i="4"/>
  <c r="AC250" i="4"/>
  <c r="X250" i="4"/>
  <c r="W250" i="4"/>
  <c r="U250" i="4"/>
  <c r="V250" i="4" s="1"/>
  <c r="T250" i="4"/>
  <c r="S250" i="4"/>
  <c r="L250" i="4"/>
  <c r="K250" i="4"/>
  <c r="AC249" i="4"/>
  <c r="X249" i="4"/>
  <c r="W249" i="4"/>
  <c r="V249" i="4"/>
  <c r="U249" i="4"/>
  <c r="T249" i="4"/>
  <c r="S249" i="4"/>
  <c r="L249" i="4"/>
  <c r="K249" i="4"/>
  <c r="AC248" i="4"/>
  <c r="X248" i="4"/>
  <c r="W248" i="4"/>
  <c r="U248" i="4"/>
  <c r="V248" i="4" s="1"/>
  <c r="T248" i="4"/>
  <c r="S248" i="4"/>
  <c r="L248" i="4"/>
  <c r="K248" i="4"/>
  <c r="AC247" i="4"/>
  <c r="X247" i="4"/>
  <c r="W247" i="4"/>
  <c r="U247" i="4"/>
  <c r="V247" i="4" s="1"/>
  <c r="T247" i="4"/>
  <c r="S247" i="4"/>
  <c r="L247" i="4"/>
  <c r="K247" i="4"/>
  <c r="AC246" i="4"/>
  <c r="X246" i="4"/>
  <c r="W246" i="4"/>
  <c r="U246" i="4"/>
  <c r="V246" i="4" s="1"/>
  <c r="T246" i="4"/>
  <c r="S246" i="4"/>
  <c r="L246" i="4"/>
  <c r="K246" i="4"/>
  <c r="AC245" i="4"/>
  <c r="X245" i="4"/>
  <c r="W245" i="4"/>
  <c r="U245" i="4"/>
  <c r="V245" i="4" s="1"/>
  <c r="T245" i="4"/>
  <c r="S245" i="4"/>
  <c r="L245" i="4"/>
  <c r="K245" i="4"/>
  <c r="AC244" i="4"/>
  <c r="X244" i="4"/>
  <c r="W244" i="4"/>
  <c r="U244" i="4"/>
  <c r="V244" i="4" s="1"/>
  <c r="T244" i="4"/>
  <c r="S244" i="4"/>
  <c r="L244" i="4"/>
  <c r="K244" i="4"/>
  <c r="AC243" i="4"/>
  <c r="X243" i="4"/>
  <c r="W243" i="4"/>
  <c r="U243" i="4"/>
  <c r="V243" i="4" s="1"/>
  <c r="T243" i="4"/>
  <c r="S243" i="4"/>
  <c r="L243" i="4"/>
  <c r="K243" i="4"/>
  <c r="AC242" i="4"/>
  <c r="X242" i="4"/>
  <c r="W242" i="4"/>
  <c r="U242" i="4"/>
  <c r="V242" i="4" s="1"/>
  <c r="T242" i="4"/>
  <c r="S242" i="4"/>
  <c r="L242" i="4"/>
  <c r="K242" i="4"/>
  <c r="AC241" i="4"/>
  <c r="X241" i="4"/>
  <c r="W241" i="4"/>
  <c r="U241" i="4"/>
  <c r="V241" i="4" s="1"/>
  <c r="P241" i="4" s="1"/>
  <c r="T241" i="4"/>
  <c r="S241" i="4"/>
  <c r="L241" i="4"/>
  <c r="K241" i="4"/>
  <c r="AC240" i="4"/>
  <c r="X240" i="4"/>
  <c r="W240" i="4"/>
  <c r="U240" i="4"/>
  <c r="V240" i="4" s="1"/>
  <c r="T240" i="4"/>
  <c r="S240" i="4"/>
  <c r="L240" i="4"/>
  <c r="K240" i="4"/>
  <c r="AC239" i="4"/>
  <c r="X239" i="4"/>
  <c r="W239" i="4"/>
  <c r="U239" i="4"/>
  <c r="V239" i="4" s="1"/>
  <c r="T239" i="4"/>
  <c r="S239" i="4"/>
  <c r="L239" i="4"/>
  <c r="K239" i="4"/>
  <c r="AC238" i="4"/>
  <c r="X238" i="4"/>
  <c r="W238" i="4"/>
  <c r="U238" i="4"/>
  <c r="V238" i="4" s="1"/>
  <c r="T238" i="4"/>
  <c r="S238" i="4"/>
  <c r="L238" i="4"/>
  <c r="K238" i="4"/>
  <c r="AC237" i="4"/>
  <c r="X237" i="4"/>
  <c r="W237" i="4"/>
  <c r="U237" i="4"/>
  <c r="V237" i="4" s="1"/>
  <c r="T237" i="4"/>
  <c r="S237" i="4"/>
  <c r="L237" i="4"/>
  <c r="K237" i="4"/>
  <c r="AC236" i="4"/>
  <c r="X236" i="4"/>
  <c r="W236" i="4"/>
  <c r="V236" i="4"/>
  <c r="U236" i="4"/>
  <c r="T236" i="4"/>
  <c r="S236" i="4"/>
  <c r="L236" i="4"/>
  <c r="K236" i="4"/>
  <c r="AC235" i="4"/>
  <c r="X235" i="4"/>
  <c r="W235" i="4"/>
  <c r="U235" i="4"/>
  <c r="V235" i="4" s="1"/>
  <c r="P235" i="4" s="1"/>
  <c r="T235" i="4"/>
  <c r="S235" i="4"/>
  <c r="L235" i="4"/>
  <c r="K235" i="4"/>
  <c r="AC234" i="4"/>
  <c r="X234" i="4"/>
  <c r="W234" i="4"/>
  <c r="U234" i="4"/>
  <c r="V234" i="4" s="1"/>
  <c r="T234" i="4"/>
  <c r="S234" i="4"/>
  <c r="L234" i="4"/>
  <c r="K234" i="4"/>
  <c r="AC233" i="4"/>
  <c r="X233" i="4"/>
  <c r="W233" i="4"/>
  <c r="V233" i="4"/>
  <c r="U233" i="4"/>
  <c r="T233" i="4"/>
  <c r="S233" i="4"/>
  <c r="L233" i="4"/>
  <c r="K233" i="4"/>
  <c r="AC232" i="4"/>
  <c r="X232" i="4"/>
  <c r="W232" i="4"/>
  <c r="U232" i="4"/>
  <c r="V232" i="4" s="1"/>
  <c r="T232" i="4"/>
  <c r="S232" i="4"/>
  <c r="L232" i="4"/>
  <c r="K232" i="4"/>
  <c r="AC231" i="4"/>
  <c r="X231" i="4"/>
  <c r="W231" i="4"/>
  <c r="U231" i="4"/>
  <c r="V231" i="4" s="1"/>
  <c r="T231" i="4"/>
  <c r="S231" i="4"/>
  <c r="L231" i="4"/>
  <c r="K231" i="4"/>
  <c r="AC230" i="4"/>
  <c r="X230" i="4"/>
  <c r="W230" i="4"/>
  <c r="U230" i="4"/>
  <c r="V230" i="4" s="1"/>
  <c r="T230" i="4"/>
  <c r="S230" i="4"/>
  <c r="L230" i="4"/>
  <c r="K230" i="4"/>
  <c r="AC229" i="4"/>
  <c r="X229" i="4"/>
  <c r="W229" i="4"/>
  <c r="U229" i="4"/>
  <c r="V229" i="4" s="1"/>
  <c r="T229" i="4"/>
  <c r="S229" i="4"/>
  <c r="L229" i="4"/>
  <c r="K229" i="4"/>
  <c r="AC228" i="4"/>
  <c r="X228" i="4"/>
  <c r="W228" i="4"/>
  <c r="V228" i="4"/>
  <c r="U228" i="4"/>
  <c r="T228" i="4"/>
  <c r="S228" i="4"/>
  <c r="L228" i="4"/>
  <c r="K228" i="4"/>
  <c r="AC227" i="4"/>
  <c r="X227" i="4"/>
  <c r="W227" i="4"/>
  <c r="U227" i="4"/>
  <c r="V227" i="4" s="1"/>
  <c r="T227" i="4"/>
  <c r="S227" i="4"/>
  <c r="L227" i="4"/>
  <c r="K227" i="4"/>
  <c r="AC226" i="4"/>
  <c r="X226" i="4"/>
  <c r="W226" i="4"/>
  <c r="U226" i="4"/>
  <c r="V226" i="4" s="1"/>
  <c r="T226" i="4"/>
  <c r="S226" i="4"/>
  <c r="L226" i="4"/>
  <c r="K226" i="4"/>
  <c r="AC225" i="4"/>
  <c r="X225" i="4"/>
  <c r="W225" i="4"/>
  <c r="U225" i="4"/>
  <c r="V225" i="4" s="1"/>
  <c r="T225" i="4"/>
  <c r="S225" i="4"/>
  <c r="L225" i="4"/>
  <c r="K225" i="4"/>
  <c r="AC224" i="4"/>
  <c r="X224" i="4"/>
  <c r="W224" i="4"/>
  <c r="U224" i="4"/>
  <c r="V224" i="4" s="1"/>
  <c r="T224" i="4"/>
  <c r="S224" i="4"/>
  <c r="L224" i="4"/>
  <c r="K224" i="4"/>
  <c r="AC223" i="4"/>
  <c r="X223" i="4"/>
  <c r="W223" i="4"/>
  <c r="U223" i="4"/>
  <c r="V223" i="4" s="1"/>
  <c r="T223" i="4"/>
  <c r="S223" i="4"/>
  <c r="L223" i="4"/>
  <c r="K223" i="4"/>
  <c r="AC222" i="4"/>
  <c r="X222" i="4"/>
  <c r="W222" i="4"/>
  <c r="U222" i="4"/>
  <c r="V222" i="4" s="1"/>
  <c r="T222" i="4"/>
  <c r="S222" i="4"/>
  <c r="L222" i="4"/>
  <c r="K222" i="4"/>
  <c r="AC221" i="4"/>
  <c r="X221" i="4"/>
  <c r="W221" i="4"/>
  <c r="U221" i="4"/>
  <c r="V221" i="4" s="1"/>
  <c r="T221" i="4"/>
  <c r="S221" i="4"/>
  <c r="L221" i="4"/>
  <c r="K221" i="4"/>
  <c r="AC220" i="4"/>
  <c r="X220" i="4"/>
  <c r="W220" i="4"/>
  <c r="U220" i="4"/>
  <c r="V220" i="4" s="1"/>
  <c r="T220" i="4"/>
  <c r="S220" i="4"/>
  <c r="L220" i="4"/>
  <c r="K220" i="4"/>
  <c r="AC219" i="4"/>
  <c r="X219" i="4"/>
  <c r="W219" i="4"/>
  <c r="U219" i="4"/>
  <c r="V219" i="4" s="1"/>
  <c r="T219" i="4"/>
  <c r="S219" i="4"/>
  <c r="L219" i="4"/>
  <c r="K219" i="4"/>
  <c r="AC218" i="4"/>
  <c r="X218" i="4"/>
  <c r="W218" i="4"/>
  <c r="U218" i="4"/>
  <c r="V218" i="4" s="1"/>
  <c r="T218" i="4"/>
  <c r="S218" i="4"/>
  <c r="L218" i="4"/>
  <c r="K218" i="4"/>
  <c r="AC217" i="4"/>
  <c r="X217" i="4"/>
  <c r="W217" i="4"/>
  <c r="V217" i="4"/>
  <c r="U217" i="4"/>
  <c r="T217" i="4"/>
  <c r="S217" i="4"/>
  <c r="L217" i="4"/>
  <c r="K217" i="4"/>
  <c r="AC216" i="4"/>
  <c r="X216" i="4"/>
  <c r="W216" i="4"/>
  <c r="V216" i="4"/>
  <c r="U216" i="4"/>
  <c r="T216" i="4"/>
  <c r="S216" i="4"/>
  <c r="L216" i="4"/>
  <c r="K216" i="4"/>
  <c r="AC215" i="4"/>
  <c r="X215" i="4"/>
  <c r="W215" i="4"/>
  <c r="U215" i="4"/>
  <c r="V215" i="4" s="1"/>
  <c r="T215" i="4"/>
  <c r="S215" i="4"/>
  <c r="L215" i="4"/>
  <c r="K215" i="4"/>
  <c r="AC214" i="4"/>
  <c r="X214" i="4"/>
  <c r="W214" i="4"/>
  <c r="U214" i="4"/>
  <c r="V214" i="4" s="1"/>
  <c r="T214" i="4"/>
  <c r="S214" i="4"/>
  <c r="L214" i="4"/>
  <c r="K214" i="4"/>
  <c r="AC213" i="4"/>
  <c r="X213" i="4"/>
  <c r="W213" i="4"/>
  <c r="U213" i="4"/>
  <c r="V213" i="4" s="1"/>
  <c r="T213" i="4"/>
  <c r="S213" i="4"/>
  <c r="L213" i="4"/>
  <c r="K213" i="4"/>
  <c r="AC212" i="4"/>
  <c r="X212" i="4"/>
  <c r="W212" i="4"/>
  <c r="V212" i="4"/>
  <c r="U212" i="4"/>
  <c r="T212" i="4"/>
  <c r="S212" i="4"/>
  <c r="L212" i="4"/>
  <c r="K212" i="4"/>
  <c r="AC211" i="4"/>
  <c r="X211" i="4"/>
  <c r="W211" i="4"/>
  <c r="U211" i="4"/>
  <c r="V211" i="4" s="1"/>
  <c r="T211" i="4"/>
  <c r="S211" i="4"/>
  <c r="L211" i="4"/>
  <c r="K211" i="4"/>
  <c r="AC210" i="4"/>
  <c r="X210" i="4"/>
  <c r="W210" i="4"/>
  <c r="U210" i="4"/>
  <c r="V210" i="4" s="1"/>
  <c r="T210" i="4"/>
  <c r="S210" i="4"/>
  <c r="L210" i="4"/>
  <c r="K210" i="4"/>
  <c r="AC209" i="4"/>
  <c r="X209" i="4"/>
  <c r="W209" i="4"/>
  <c r="V209" i="4"/>
  <c r="U209" i="4"/>
  <c r="T209" i="4"/>
  <c r="S209" i="4"/>
  <c r="L209" i="4"/>
  <c r="K209" i="4"/>
  <c r="AC208" i="4"/>
  <c r="X208" i="4"/>
  <c r="W208" i="4"/>
  <c r="V208" i="4"/>
  <c r="U208" i="4"/>
  <c r="T208" i="4"/>
  <c r="S208" i="4"/>
  <c r="L208" i="4"/>
  <c r="K208" i="4"/>
  <c r="AC207" i="4"/>
  <c r="X207" i="4"/>
  <c r="W207" i="4"/>
  <c r="U207" i="4"/>
  <c r="V207" i="4" s="1"/>
  <c r="T207" i="4"/>
  <c r="S207" i="4"/>
  <c r="L207" i="4"/>
  <c r="K207" i="4"/>
  <c r="AC206" i="4"/>
  <c r="X206" i="4"/>
  <c r="W206" i="4"/>
  <c r="U206" i="4"/>
  <c r="V206" i="4" s="1"/>
  <c r="P206" i="4" s="1"/>
  <c r="T206" i="4"/>
  <c r="S206" i="4"/>
  <c r="L206" i="4"/>
  <c r="K206" i="4"/>
  <c r="AC205" i="4"/>
  <c r="X205" i="4"/>
  <c r="W205" i="4"/>
  <c r="U205" i="4"/>
  <c r="V205" i="4" s="1"/>
  <c r="T205" i="4"/>
  <c r="S205" i="4"/>
  <c r="L205" i="4"/>
  <c r="K205" i="4"/>
  <c r="AC204" i="4"/>
  <c r="X204" i="4"/>
  <c r="W204" i="4"/>
  <c r="U204" i="4"/>
  <c r="V204" i="4" s="1"/>
  <c r="T204" i="4"/>
  <c r="S204" i="4"/>
  <c r="L204" i="4"/>
  <c r="K204" i="4"/>
  <c r="AC203" i="4"/>
  <c r="X203" i="4"/>
  <c r="W203" i="4"/>
  <c r="U203" i="4"/>
  <c r="V203" i="4" s="1"/>
  <c r="T203" i="4"/>
  <c r="S203" i="4"/>
  <c r="L203" i="4"/>
  <c r="K203" i="4"/>
  <c r="AC202" i="4"/>
  <c r="X202" i="4"/>
  <c r="W202" i="4"/>
  <c r="U202" i="4"/>
  <c r="V202" i="4" s="1"/>
  <c r="T202" i="4"/>
  <c r="S202" i="4"/>
  <c r="L202" i="4"/>
  <c r="K202" i="4"/>
  <c r="AC201" i="4"/>
  <c r="X201" i="4"/>
  <c r="W201" i="4"/>
  <c r="U201" i="4"/>
  <c r="V201" i="4" s="1"/>
  <c r="T201" i="4"/>
  <c r="S201" i="4"/>
  <c r="L201" i="4"/>
  <c r="K201" i="4"/>
  <c r="AC200" i="4"/>
  <c r="X200" i="4"/>
  <c r="W200" i="4"/>
  <c r="U200" i="4"/>
  <c r="V200" i="4" s="1"/>
  <c r="P200" i="4" s="1"/>
  <c r="T200" i="4"/>
  <c r="S200" i="4"/>
  <c r="L200" i="4"/>
  <c r="K200" i="4"/>
  <c r="AC199" i="4"/>
  <c r="X199" i="4"/>
  <c r="W199" i="4"/>
  <c r="U199" i="4"/>
  <c r="V199" i="4" s="1"/>
  <c r="T199" i="4"/>
  <c r="S199" i="4"/>
  <c r="L199" i="4"/>
  <c r="K199" i="4"/>
  <c r="AC198" i="4"/>
  <c r="X198" i="4"/>
  <c r="W198" i="4"/>
  <c r="U198" i="4"/>
  <c r="V198" i="4" s="1"/>
  <c r="T198" i="4"/>
  <c r="S198" i="4"/>
  <c r="L198" i="4"/>
  <c r="K198" i="4"/>
  <c r="AC197" i="4"/>
  <c r="X197" i="4"/>
  <c r="W197" i="4"/>
  <c r="U197" i="4"/>
  <c r="V197" i="4" s="1"/>
  <c r="T197" i="4"/>
  <c r="S197" i="4"/>
  <c r="L197" i="4"/>
  <c r="K197" i="4"/>
  <c r="AC196" i="4"/>
  <c r="X196" i="4"/>
  <c r="W196" i="4"/>
  <c r="U196" i="4"/>
  <c r="V196" i="4" s="1"/>
  <c r="T196" i="4"/>
  <c r="S196" i="4"/>
  <c r="L196" i="4"/>
  <c r="K196" i="4"/>
  <c r="AC195" i="4"/>
  <c r="X195" i="4"/>
  <c r="W195" i="4"/>
  <c r="U195" i="4"/>
  <c r="V195" i="4" s="1"/>
  <c r="T195" i="4"/>
  <c r="S195" i="4"/>
  <c r="L195" i="4"/>
  <c r="K195" i="4"/>
  <c r="AC194" i="4"/>
  <c r="X194" i="4"/>
  <c r="W194" i="4"/>
  <c r="U194" i="4"/>
  <c r="V194" i="4" s="1"/>
  <c r="T194" i="4"/>
  <c r="S194" i="4"/>
  <c r="L194" i="4"/>
  <c r="K194" i="4"/>
  <c r="AC193" i="4"/>
  <c r="X193" i="4"/>
  <c r="W193" i="4"/>
  <c r="V193" i="4"/>
  <c r="U193" i="4"/>
  <c r="T193" i="4"/>
  <c r="S193" i="4"/>
  <c r="L193" i="4"/>
  <c r="K193" i="4"/>
  <c r="AC192" i="4"/>
  <c r="X192" i="4"/>
  <c r="W192" i="4"/>
  <c r="V192" i="4"/>
  <c r="U192" i="4"/>
  <c r="T192" i="4"/>
  <c r="S192" i="4"/>
  <c r="L192" i="4"/>
  <c r="K192" i="4"/>
  <c r="AC191" i="4"/>
  <c r="X191" i="4"/>
  <c r="W191" i="4"/>
  <c r="U191" i="4"/>
  <c r="V191" i="4" s="1"/>
  <c r="T191" i="4"/>
  <c r="S191" i="4"/>
  <c r="L191" i="4"/>
  <c r="K191" i="4"/>
  <c r="AC190" i="4"/>
  <c r="X190" i="4"/>
  <c r="W190" i="4"/>
  <c r="U190" i="4"/>
  <c r="V190" i="4" s="1"/>
  <c r="T190" i="4"/>
  <c r="S190" i="4"/>
  <c r="L190" i="4"/>
  <c r="K190" i="4"/>
  <c r="AC189" i="4"/>
  <c r="X189" i="4"/>
  <c r="W189" i="4"/>
  <c r="U189" i="4"/>
  <c r="V189" i="4" s="1"/>
  <c r="T189" i="4"/>
  <c r="S189" i="4"/>
  <c r="L189" i="4"/>
  <c r="K189" i="4"/>
  <c r="AC188" i="4"/>
  <c r="X188" i="4"/>
  <c r="W188" i="4"/>
  <c r="U188" i="4"/>
  <c r="V188" i="4" s="1"/>
  <c r="T188" i="4"/>
  <c r="S188" i="4"/>
  <c r="L188" i="4"/>
  <c r="K188" i="4"/>
  <c r="AC187" i="4"/>
  <c r="X187" i="4"/>
  <c r="W187" i="4"/>
  <c r="U187" i="4"/>
  <c r="V187" i="4" s="1"/>
  <c r="T187" i="4"/>
  <c r="S187" i="4"/>
  <c r="L187" i="4"/>
  <c r="K187" i="4"/>
  <c r="AC186" i="4"/>
  <c r="X186" i="4"/>
  <c r="W186" i="4"/>
  <c r="U186" i="4"/>
  <c r="V186" i="4" s="1"/>
  <c r="T186" i="4"/>
  <c r="S186" i="4"/>
  <c r="L186" i="4"/>
  <c r="K186" i="4"/>
  <c r="AC185" i="4"/>
  <c r="X185" i="4"/>
  <c r="W185" i="4"/>
  <c r="V185" i="4"/>
  <c r="U185" i="4"/>
  <c r="T185" i="4"/>
  <c r="S185" i="4"/>
  <c r="L185" i="4"/>
  <c r="K185" i="4"/>
  <c r="AC184" i="4"/>
  <c r="X184" i="4"/>
  <c r="W184" i="4"/>
  <c r="U184" i="4"/>
  <c r="V184" i="4" s="1"/>
  <c r="T184" i="4"/>
  <c r="S184" i="4"/>
  <c r="L184" i="4"/>
  <c r="K184" i="4"/>
  <c r="AC183" i="4"/>
  <c r="X183" i="4"/>
  <c r="W183" i="4"/>
  <c r="U183" i="4"/>
  <c r="V183" i="4" s="1"/>
  <c r="T183" i="4"/>
  <c r="S183" i="4"/>
  <c r="L183" i="4"/>
  <c r="K183" i="4"/>
  <c r="AC182" i="4"/>
  <c r="X182" i="4"/>
  <c r="W182" i="4"/>
  <c r="U182" i="4"/>
  <c r="V182" i="4" s="1"/>
  <c r="T182" i="4"/>
  <c r="S182" i="4"/>
  <c r="L182" i="4"/>
  <c r="K182" i="4"/>
  <c r="AC181" i="4"/>
  <c r="X181" i="4"/>
  <c r="W181" i="4"/>
  <c r="U181" i="4"/>
  <c r="V181" i="4" s="1"/>
  <c r="T181" i="4"/>
  <c r="S181" i="4"/>
  <c r="L181" i="4"/>
  <c r="K181" i="4"/>
  <c r="AC180" i="4"/>
  <c r="X180" i="4"/>
  <c r="W180" i="4"/>
  <c r="U180" i="4"/>
  <c r="V180" i="4" s="1"/>
  <c r="T180" i="4"/>
  <c r="S180" i="4"/>
  <c r="L180" i="4"/>
  <c r="K180" i="4"/>
  <c r="AC179" i="4"/>
  <c r="X179" i="4"/>
  <c r="W179" i="4"/>
  <c r="U179" i="4"/>
  <c r="V179" i="4" s="1"/>
  <c r="T179" i="4"/>
  <c r="S179" i="4"/>
  <c r="L179" i="4"/>
  <c r="K179" i="4"/>
  <c r="AC178" i="4"/>
  <c r="X178" i="4"/>
  <c r="W178" i="4"/>
  <c r="U178" i="4"/>
  <c r="V178" i="4" s="1"/>
  <c r="T178" i="4"/>
  <c r="S178" i="4"/>
  <c r="L178" i="4"/>
  <c r="K178" i="4"/>
  <c r="AC177" i="4"/>
  <c r="X177" i="4"/>
  <c r="W177" i="4"/>
  <c r="U177" i="4"/>
  <c r="V177" i="4" s="1"/>
  <c r="T177" i="4"/>
  <c r="S177" i="4"/>
  <c r="L177" i="4"/>
  <c r="K177" i="4"/>
  <c r="AC176" i="4"/>
  <c r="X176" i="4"/>
  <c r="W176" i="4"/>
  <c r="U176" i="4"/>
  <c r="V176" i="4" s="1"/>
  <c r="T176" i="4"/>
  <c r="S176" i="4"/>
  <c r="L176" i="4"/>
  <c r="K176" i="4"/>
  <c r="AC175" i="4"/>
  <c r="X175" i="4"/>
  <c r="W175" i="4"/>
  <c r="U175" i="4"/>
  <c r="V175" i="4" s="1"/>
  <c r="T175" i="4"/>
  <c r="S175" i="4"/>
  <c r="L175" i="4"/>
  <c r="K175" i="4"/>
  <c r="AC174" i="4"/>
  <c r="X174" i="4"/>
  <c r="W174" i="4"/>
  <c r="U174" i="4"/>
  <c r="V174" i="4" s="1"/>
  <c r="T174" i="4"/>
  <c r="S174" i="4"/>
  <c r="L174" i="4"/>
  <c r="K174" i="4"/>
  <c r="AC173" i="4"/>
  <c r="X173" i="4"/>
  <c r="W173" i="4"/>
  <c r="U173" i="4"/>
  <c r="V173" i="4" s="1"/>
  <c r="T173" i="4"/>
  <c r="S173" i="4"/>
  <c r="L173" i="4"/>
  <c r="K173" i="4"/>
  <c r="AC172" i="4"/>
  <c r="X172" i="4"/>
  <c r="W172" i="4"/>
  <c r="V172" i="4"/>
  <c r="U172" i="4"/>
  <c r="T172" i="4"/>
  <c r="S172" i="4"/>
  <c r="L172" i="4"/>
  <c r="K172" i="4"/>
  <c r="AC171" i="4"/>
  <c r="X171" i="4"/>
  <c r="W171" i="4"/>
  <c r="U171" i="4"/>
  <c r="V171" i="4" s="1"/>
  <c r="T171" i="4"/>
  <c r="S171" i="4"/>
  <c r="L171" i="4"/>
  <c r="K171" i="4"/>
  <c r="AC170" i="4"/>
  <c r="X170" i="4"/>
  <c r="W170" i="4"/>
  <c r="U170" i="4"/>
  <c r="V170" i="4" s="1"/>
  <c r="T170" i="4"/>
  <c r="S170" i="4"/>
  <c r="L170" i="4"/>
  <c r="K170" i="4"/>
  <c r="AC169" i="4"/>
  <c r="X169" i="4"/>
  <c r="W169" i="4"/>
  <c r="V169" i="4"/>
  <c r="U169" i="4"/>
  <c r="T169" i="4"/>
  <c r="S169" i="4"/>
  <c r="L169" i="4"/>
  <c r="K169" i="4"/>
  <c r="AC168" i="4"/>
  <c r="X168" i="4"/>
  <c r="W168" i="4"/>
  <c r="U168" i="4"/>
  <c r="V168" i="4" s="1"/>
  <c r="T168" i="4"/>
  <c r="S168" i="4"/>
  <c r="L168" i="4"/>
  <c r="K168" i="4"/>
  <c r="AC167" i="4"/>
  <c r="X167" i="4"/>
  <c r="W167" i="4"/>
  <c r="U167" i="4"/>
  <c r="V167" i="4" s="1"/>
  <c r="T167" i="4"/>
  <c r="S167" i="4"/>
  <c r="L167" i="4"/>
  <c r="K167" i="4"/>
  <c r="AC166" i="4"/>
  <c r="X166" i="4"/>
  <c r="W166" i="4"/>
  <c r="U166" i="4"/>
  <c r="V166" i="4" s="1"/>
  <c r="T166" i="4"/>
  <c r="S166" i="4"/>
  <c r="L166" i="4"/>
  <c r="K166" i="4"/>
  <c r="AC165" i="4"/>
  <c r="X165" i="4"/>
  <c r="W165" i="4"/>
  <c r="U165" i="4"/>
  <c r="V165" i="4" s="1"/>
  <c r="T165" i="4"/>
  <c r="S165" i="4"/>
  <c r="L165" i="4"/>
  <c r="K165" i="4"/>
  <c r="AC164" i="4"/>
  <c r="X164" i="4"/>
  <c r="W164" i="4"/>
  <c r="V164" i="4"/>
  <c r="U164" i="4"/>
  <c r="T164" i="4"/>
  <c r="S164" i="4"/>
  <c r="L164" i="4"/>
  <c r="K164" i="4"/>
  <c r="AC163" i="4"/>
  <c r="X163" i="4"/>
  <c r="W163" i="4"/>
  <c r="U163" i="4"/>
  <c r="V163" i="4" s="1"/>
  <c r="T163" i="4"/>
  <c r="S163" i="4"/>
  <c r="L163" i="4"/>
  <c r="K163" i="4"/>
  <c r="AC162" i="4"/>
  <c r="X162" i="4"/>
  <c r="W162" i="4"/>
  <c r="U162" i="4"/>
  <c r="V162" i="4" s="1"/>
  <c r="T162" i="4"/>
  <c r="S162" i="4"/>
  <c r="L162" i="4"/>
  <c r="K162" i="4"/>
  <c r="AC161" i="4"/>
  <c r="X161" i="4"/>
  <c r="W161" i="4"/>
  <c r="V161" i="4"/>
  <c r="U161" i="4"/>
  <c r="T161" i="4"/>
  <c r="S161" i="4"/>
  <c r="L161" i="4"/>
  <c r="K161" i="4"/>
  <c r="AC160" i="4"/>
  <c r="X160" i="4"/>
  <c r="W160" i="4"/>
  <c r="V160" i="4"/>
  <c r="U160" i="4"/>
  <c r="T160" i="4"/>
  <c r="S160" i="4"/>
  <c r="L160" i="4"/>
  <c r="K160" i="4"/>
  <c r="AC159" i="4"/>
  <c r="X159" i="4"/>
  <c r="W159" i="4"/>
  <c r="U159" i="4"/>
  <c r="V159" i="4" s="1"/>
  <c r="T159" i="4"/>
  <c r="S159" i="4"/>
  <c r="L159" i="4"/>
  <c r="K159" i="4"/>
  <c r="AC158" i="4"/>
  <c r="X158" i="4"/>
  <c r="W158" i="4"/>
  <c r="U158" i="4"/>
  <c r="V158" i="4" s="1"/>
  <c r="T158" i="4"/>
  <c r="S158" i="4"/>
  <c r="L158" i="4"/>
  <c r="K158" i="4"/>
  <c r="AC157" i="4"/>
  <c r="X157" i="4"/>
  <c r="W157" i="4"/>
  <c r="V157" i="4"/>
  <c r="U157" i="4"/>
  <c r="T157" i="4"/>
  <c r="S157" i="4"/>
  <c r="L157" i="4"/>
  <c r="K157" i="4"/>
  <c r="AC156" i="4"/>
  <c r="X156" i="4"/>
  <c r="W156" i="4"/>
  <c r="V156" i="4"/>
  <c r="U156" i="4"/>
  <c r="T156" i="4"/>
  <c r="S156" i="4"/>
  <c r="L156" i="4"/>
  <c r="K156" i="4"/>
  <c r="AC155" i="4"/>
  <c r="X155" i="4"/>
  <c r="W155" i="4"/>
  <c r="U155" i="4"/>
  <c r="V155" i="4" s="1"/>
  <c r="T155" i="4"/>
  <c r="S155" i="4"/>
  <c r="L155" i="4"/>
  <c r="K155" i="4"/>
  <c r="AC154" i="4"/>
  <c r="X154" i="4"/>
  <c r="W154" i="4"/>
  <c r="U154" i="4"/>
  <c r="V154" i="4" s="1"/>
  <c r="T154" i="4"/>
  <c r="S154" i="4"/>
  <c r="L154" i="4"/>
  <c r="K154" i="4"/>
  <c r="AC153" i="4"/>
  <c r="X153" i="4"/>
  <c r="W153" i="4"/>
  <c r="U153" i="4"/>
  <c r="V153" i="4" s="1"/>
  <c r="T153" i="4"/>
  <c r="S153" i="4"/>
  <c r="L153" i="4"/>
  <c r="K153" i="4"/>
  <c r="AC152" i="4"/>
  <c r="X152" i="4"/>
  <c r="W152" i="4"/>
  <c r="U152" i="4"/>
  <c r="V152" i="4" s="1"/>
  <c r="T152" i="4"/>
  <c r="S152" i="4"/>
  <c r="L152" i="4"/>
  <c r="K152" i="4"/>
  <c r="AC151" i="4"/>
  <c r="X151" i="4"/>
  <c r="W151" i="4"/>
  <c r="U151" i="4"/>
  <c r="V151" i="4" s="1"/>
  <c r="T151" i="4"/>
  <c r="S151" i="4"/>
  <c r="L151" i="4"/>
  <c r="K151" i="4"/>
  <c r="AC150" i="4"/>
  <c r="X150" i="4"/>
  <c r="W150" i="4"/>
  <c r="U150" i="4"/>
  <c r="V150" i="4" s="1"/>
  <c r="T150" i="4"/>
  <c r="S150" i="4"/>
  <c r="L150" i="4"/>
  <c r="K150" i="4"/>
  <c r="AC149" i="4"/>
  <c r="X149" i="4"/>
  <c r="W149" i="4"/>
  <c r="U149" i="4"/>
  <c r="V149" i="4" s="1"/>
  <c r="T149" i="4"/>
  <c r="S149" i="4"/>
  <c r="L149" i="4"/>
  <c r="K149" i="4"/>
  <c r="AC148" i="4"/>
  <c r="X148" i="4"/>
  <c r="W148" i="4"/>
  <c r="V148" i="4"/>
  <c r="U148" i="4"/>
  <c r="T148" i="4"/>
  <c r="S148" i="4"/>
  <c r="L148" i="4"/>
  <c r="K148" i="4"/>
  <c r="AC147" i="4"/>
  <c r="X147" i="4"/>
  <c r="W147" i="4"/>
  <c r="U147" i="4"/>
  <c r="V147" i="4" s="1"/>
  <c r="T147" i="4"/>
  <c r="S147" i="4"/>
  <c r="L147" i="4"/>
  <c r="K147" i="4"/>
  <c r="AC146" i="4"/>
  <c r="X146" i="4"/>
  <c r="W146" i="4"/>
  <c r="U146" i="4"/>
  <c r="V146" i="4" s="1"/>
  <c r="T146" i="4"/>
  <c r="S146" i="4"/>
  <c r="L146" i="4"/>
  <c r="K146" i="4"/>
  <c r="AC145" i="4"/>
  <c r="X145" i="4"/>
  <c r="W145" i="4"/>
  <c r="U145" i="4"/>
  <c r="V145" i="4" s="1"/>
  <c r="T145" i="4"/>
  <c r="S145" i="4"/>
  <c r="L145" i="4"/>
  <c r="K145" i="4"/>
  <c r="AC144" i="4"/>
  <c r="X144" i="4"/>
  <c r="W144" i="4"/>
  <c r="V144" i="4"/>
  <c r="U144" i="4"/>
  <c r="T144" i="4"/>
  <c r="S144" i="4"/>
  <c r="L144" i="4"/>
  <c r="K144" i="4"/>
  <c r="AC143" i="4"/>
  <c r="X143" i="4"/>
  <c r="W143" i="4"/>
  <c r="U143" i="4"/>
  <c r="V143" i="4" s="1"/>
  <c r="T143" i="4"/>
  <c r="S143" i="4"/>
  <c r="L143" i="4"/>
  <c r="K143" i="4"/>
  <c r="AC142" i="4"/>
  <c r="X142" i="4"/>
  <c r="W142" i="4"/>
  <c r="U142" i="4"/>
  <c r="V142" i="4" s="1"/>
  <c r="T142" i="4"/>
  <c r="S142" i="4"/>
  <c r="L142" i="4"/>
  <c r="K142" i="4"/>
  <c r="AC141" i="4"/>
  <c r="X141" i="4"/>
  <c r="W141" i="4"/>
  <c r="U141" i="4"/>
  <c r="V141" i="4" s="1"/>
  <c r="T141" i="4"/>
  <c r="S141" i="4"/>
  <c r="L141" i="4"/>
  <c r="K141" i="4"/>
  <c r="AC140" i="4"/>
  <c r="X140" i="4"/>
  <c r="W140" i="4"/>
  <c r="U140" i="4"/>
  <c r="V140" i="4" s="1"/>
  <c r="T140" i="4"/>
  <c r="S140" i="4"/>
  <c r="L140" i="4"/>
  <c r="K140" i="4"/>
  <c r="AC139" i="4"/>
  <c r="X139" i="4"/>
  <c r="W139" i="4"/>
  <c r="U139" i="4"/>
  <c r="V139" i="4" s="1"/>
  <c r="T139" i="4"/>
  <c r="S139" i="4"/>
  <c r="L139" i="4"/>
  <c r="K139" i="4"/>
  <c r="AC138" i="4"/>
  <c r="X138" i="4"/>
  <c r="W138" i="4"/>
  <c r="U138" i="4"/>
  <c r="V138" i="4" s="1"/>
  <c r="T138" i="4"/>
  <c r="S138" i="4"/>
  <c r="L138" i="4"/>
  <c r="K138" i="4"/>
  <c r="AC137" i="4"/>
  <c r="X137" i="4"/>
  <c r="W137" i="4"/>
  <c r="U137" i="4"/>
  <c r="V137" i="4" s="1"/>
  <c r="T137" i="4"/>
  <c r="S137" i="4"/>
  <c r="L137" i="4"/>
  <c r="K137" i="4"/>
  <c r="AC136" i="4"/>
  <c r="X136" i="4"/>
  <c r="W136" i="4"/>
  <c r="V136" i="4"/>
  <c r="U136" i="4"/>
  <c r="T136" i="4"/>
  <c r="S136" i="4"/>
  <c r="L136" i="4"/>
  <c r="K136" i="4"/>
  <c r="AC135" i="4"/>
  <c r="X135" i="4"/>
  <c r="W135" i="4"/>
  <c r="U135" i="4"/>
  <c r="V135" i="4" s="1"/>
  <c r="T135" i="4"/>
  <c r="S135" i="4"/>
  <c r="L135" i="4"/>
  <c r="K135" i="4"/>
  <c r="AC134" i="4"/>
  <c r="X134" i="4"/>
  <c r="W134" i="4"/>
  <c r="U134" i="4"/>
  <c r="V134" i="4" s="1"/>
  <c r="T134" i="4"/>
  <c r="S134" i="4"/>
  <c r="L134" i="4"/>
  <c r="K134" i="4"/>
  <c r="AC133" i="4"/>
  <c r="X133" i="4"/>
  <c r="W133" i="4"/>
  <c r="V133" i="4"/>
  <c r="U133" i="4"/>
  <c r="T133" i="4"/>
  <c r="S133" i="4"/>
  <c r="L133" i="4"/>
  <c r="K133" i="4"/>
  <c r="AC132" i="4"/>
  <c r="X132" i="4"/>
  <c r="W132" i="4"/>
  <c r="V132" i="4"/>
  <c r="U132" i="4"/>
  <c r="T132" i="4"/>
  <c r="S132" i="4"/>
  <c r="L132" i="4"/>
  <c r="K132" i="4"/>
  <c r="AC131" i="4"/>
  <c r="X131" i="4"/>
  <c r="W131" i="4"/>
  <c r="U131" i="4"/>
  <c r="V131" i="4" s="1"/>
  <c r="T131" i="4"/>
  <c r="S131" i="4"/>
  <c r="L131" i="4"/>
  <c r="K131" i="4"/>
  <c r="AC130" i="4"/>
  <c r="X130" i="4"/>
  <c r="W130" i="4"/>
  <c r="U130" i="4"/>
  <c r="V130" i="4" s="1"/>
  <c r="T130" i="4"/>
  <c r="S130" i="4"/>
  <c r="L130" i="4"/>
  <c r="K130" i="4"/>
  <c r="AC129" i="4"/>
  <c r="X129" i="4"/>
  <c r="W129" i="4"/>
  <c r="U129" i="4"/>
  <c r="V129" i="4" s="1"/>
  <c r="T129" i="4"/>
  <c r="S129" i="4"/>
  <c r="L129" i="4"/>
  <c r="K129" i="4"/>
  <c r="AC128" i="4"/>
  <c r="X128" i="4"/>
  <c r="W128" i="4"/>
  <c r="U128" i="4"/>
  <c r="V128" i="4" s="1"/>
  <c r="T128" i="4"/>
  <c r="S128" i="4"/>
  <c r="L128" i="4"/>
  <c r="K128" i="4"/>
  <c r="AC127" i="4"/>
  <c r="X127" i="4"/>
  <c r="W127" i="4"/>
  <c r="U127" i="4"/>
  <c r="V127" i="4" s="1"/>
  <c r="T127" i="4"/>
  <c r="S127" i="4"/>
  <c r="L127" i="4"/>
  <c r="K127" i="4"/>
  <c r="AC126" i="4"/>
  <c r="X126" i="4"/>
  <c r="W126" i="4"/>
  <c r="U126" i="4"/>
  <c r="V126" i="4" s="1"/>
  <c r="T126" i="4"/>
  <c r="S126" i="4"/>
  <c r="L126" i="4"/>
  <c r="K126" i="4"/>
  <c r="AC125" i="4"/>
  <c r="X125" i="4"/>
  <c r="W125" i="4"/>
  <c r="U125" i="4"/>
  <c r="V125" i="4" s="1"/>
  <c r="T125" i="4"/>
  <c r="S125" i="4"/>
  <c r="L125" i="4"/>
  <c r="K125" i="4"/>
  <c r="AC124" i="4"/>
  <c r="X124" i="4"/>
  <c r="W124" i="4"/>
  <c r="U124" i="4"/>
  <c r="V124" i="4" s="1"/>
  <c r="T124" i="4"/>
  <c r="S124" i="4"/>
  <c r="L124" i="4"/>
  <c r="K124" i="4"/>
  <c r="AC123" i="4"/>
  <c r="X123" i="4"/>
  <c r="W123" i="4"/>
  <c r="U123" i="4"/>
  <c r="V123" i="4" s="1"/>
  <c r="T123" i="4"/>
  <c r="S123" i="4"/>
  <c r="L123" i="4"/>
  <c r="K123" i="4"/>
  <c r="AC122" i="4"/>
  <c r="X122" i="4"/>
  <c r="W122" i="4"/>
  <c r="U122" i="4"/>
  <c r="V122" i="4" s="1"/>
  <c r="T122" i="4"/>
  <c r="S122" i="4"/>
  <c r="L122" i="4"/>
  <c r="K122" i="4"/>
  <c r="AC121" i="4"/>
  <c r="X121" i="4"/>
  <c r="W121" i="4"/>
  <c r="V121" i="4"/>
  <c r="U121" i="4"/>
  <c r="T121" i="4"/>
  <c r="S121" i="4"/>
  <c r="L121" i="4"/>
  <c r="K121" i="4"/>
  <c r="AC120" i="4"/>
  <c r="X120" i="4"/>
  <c r="W120" i="4"/>
  <c r="V120" i="4"/>
  <c r="U120" i="4"/>
  <c r="T120" i="4"/>
  <c r="S120" i="4"/>
  <c r="L120" i="4"/>
  <c r="K120" i="4"/>
  <c r="AC119" i="4"/>
  <c r="X119" i="4"/>
  <c r="W119" i="4"/>
  <c r="U119" i="4"/>
  <c r="V119" i="4" s="1"/>
  <c r="T119" i="4"/>
  <c r="S119" i="4"/>
  <c r="L119" i="4"/>
  <c r="K119" i="4"/>
  <c r="AC118" i="4"/>
  <c r="X118" i="4"/>
  <c r="W118" i="4"/>
  <c r="U118" i="4"/>
  <c r="V118" i="4" s="1"/>
  <c r="P118" i="4" s="1"/>
  <c r="T118" i="4"/>
  <c r="S118" i="4"/>
  <c r="L118" i="4"/>
  <c r="K118" i="4"/>
  <c r="AC117" i="4"/>
  <c r="X117" i="4"/>
  <c r="W117" i="4"/>
  <c r="V117" i="4"/>
  <c r="U117" i="4"/>
  <c r="T117" i="4"/>
  <c r="S117" i="4"/>
  <c r="L117" i="4"/>
  <c r="K117" i="4"/>
  <c r="AC116" i="4"/>
  <c r="X116" i="4"/>
  <c r="W116" i="4"/>
  <c r="V116" i="4"/>
  <c r="U116" i="4"/>
  <c r="T116" i="4"/>
  <c r="S116" i="4"/>
  <c r="L116" i="4"/>
  <c r="K116" i="4"/>
  <c r="AC115" i="4"/>
  <c r="X115" i="4"/>
  <c r="W115" i="4"/>
  <c r="U115" i="4"/>
  <c r="V115" i="4" s="1"/>
  <c r="T115" i="4"/>
  <c r="S115" i="4"/>
  <c r="L115" i="4"/>
  <c r="K115" i="4"/>
  <c r="AC114" i="4"/>
  <c r="X114" i="4"/>
  <c r="W114" i="4"/>
  <c r="V114" i="4"/>
  <c r="U114" i="4"/>
  <c r="T114" i="4"/>
  <c r="S114" i="4"/>
  <c r="L114" i="4"/>
  <c r="K114" i="4"/>
  <c r="AC113" i="4"/>
  <c r="X113" i="4"/>
  <c r="W113" i="4"/>
  <c r="U113" i="4"/>
  <c r="V113" i="4" s="1"/>
  <c r="T113" i="4"/>
  <c r="S113" i="4"/>
  <c r="L113" i="4"/>
  <c r="K113" i="4"/>
  <c r="AC112" i="4"/>
  <c r="X112" i="4"/>
  <c r="W112" i="4"/>
  <c r="U112" i="4"/>
  <c r="V112" i="4" s="1"/>
  <c r="T112" i="4"/>
  <c r="S112" i="4"/>
  <c r="L112" i="4"/>
  <c r="K112" i="4"/>
  <c r="AC111" i="4"/>
  <c r="X111" i="4"/>
  <c r="W111" i="4"/>
  <c r="U111" i="4"/>
  <c r="V111" i="4" s="1"/>
  <c r="T111" i="4"/>
  <c r="S111" i="4"/>
  <c r="L111" i="4"/>
  <c r="K111" i="4"/>
  <c r="AC110" i="4"/>
  <c r="X110" i="4"/>
  <c r="W110" i="4"/>
  <c r="U110" i="4"/>
  <c r="V110" i="4" s="1"/>
  <c r="T110" i="4"/>
  <c r="S110" i="4"/>
  <c r="L110" i="4"/>
  <c r="K110" i="4"/>
  <c r="AC109" i="4"/>
  <c r="X109" i="4"/>
  <c r="W109" i="4"/>
  <c r="U109" i="4"/>
  <c r="V109" i="4" s="1"/>
  <c r="T109" i="4"/>
  <c r="S109" i="4"/>
  <c r="L109" i="4"/>
  <c r="K109" i="4"/>
  <c r="AC108" i="4"/>
  <c r="X108" i="4"/>
  <c r="W108" i="4"/>
  <c r="V108" i="4"/>
  <c r="U108" i="4"/>
  <c r="T108" i="4"/>
  <c r="S108" i="4"/>
  <c r="L108" i="4"/>
  <c r="K108" i="4"/>
  <c r="AC107" i="4"/>
  <c r="X107" i="4"/>
  <c r="W107" i="4"/>
  <c r="U107" i="4"/>
  <c r="V107" i="4" s="1"/>
  <c r="T107" i="4"/>
  <c r="S107" i="4"/>
  <c r="L107" i="4"/>
  <c r="K107" i="4"/>
  <c r="AC106" i="4"/>
  <c r="X106" i="4"/>
  <c r="W106" i="4"/>
  <c r="U106" i="4"/>
  <c r="V106" i="4" s="1"/>
  <c r="T106" i="4"/>
  <c r="S106" i="4"/>
  <c r="L106" i="4"/>
  <c r="K106" i="4"/>
  <c r="AC105" i="4"/>
  <c r="X105" i="4"/>
  <c r="W105" i="4"/>
  <c r="V105" i="4"/>
  <c r="U105" i="4"/>
  <c r="T105" i="4"/>
  <c r="S105" i="4"/>
  <c r="L105" i="4"/>
  <c r="K105" i="4"/>
  <c r="AC104" i="4"/>
  <c r="X104" i="4"/>
  <c r="W104" i="4"/>
  <c r="V104" i="4"/>
  <c r="U104" i="4"/>
  <c r="T104" i="4"/>
  <c r="S104" i="4"/>
  <c r="L104" i="4"/>
  <c r="K104" i="4"/>
  <c r="AC103" i="4"/>
  <c r="X103" i="4"/>
  <c r="W103" i="4"/>
  <c r="U103" i="4"/>
  <c r="V103" i="4" s="1"/>
  <c r="T103" i="4"/>
  <c r="S103" i="4"/>
  <c r="L103" i="4"/>
  <c r="K103" i="4"/>
  <c r="AC102" i="4"/>
  <c r="X102" i="4"/>
  <c r="W102" i="4"/>
  <c r="U102" i="4"/>
  <c r="V102" i="4" s="1"/>
  <c r="T102" i="4"/>
  <c r="S102" i="4"/>
  <c r="L102" i="4"/>
  <c r="K102" i="4"/>
  <c r="AC101" i="4"/>
  <c r="X101" i="4"/>
  <c r="W101" i="4"/>
  <c r="U101" i="4"/>
  <c r="V101" i="4" s="1"/>
  <c r="T101" i="4"/>
  <c r="S101" i="4"/>
  <c r="L101" i="4"/>
  <c r="K101" i="4"/>
  <c r="AC100" i="4"/>
  <c r="X100" i="4"/>
  <c r="W100" i="4"/>
  <c r="U100" i="4"/>
  <c r="V100" i="4" s="1"/>
  <c r="T100" i="4"/>
  <c r="S100" i="4"/>
  <c r="L100" i="4"/>
  <c r="K100" i="4"/>
  <c r="AC99" i="4"/>
  <c r="X99" i="4"/>
  <c r="W99" i="4"/>
  <c r="U99" i="4"/>
  <c r="V99" i="4" s="1"/>
  <c r="T99" i="4"/>
  <c r="S99" i="4"/>
  <c r="L99" i="4"/>
  <c r="K99" i="4"/>
  <c r="AC98" i="4"/>
  <c r="X98" i="4"/>
  <c r="W98" i="4"/>
  <c r="U98" i="4"/>
  <c r="V98" i="4" s="1"/>
  <c r="T98" i="4"/>
  <c r="S98" i="4"/>
  <c r="L98" i="4"/>
  <c r="K98" i="4"/>
  <c r="AC97" i="4"/>
  <c r="X97" i="4"/>
  <c r="W97" i="4"/>
  <c r="U97" i="4"/>
  <c r="V97" i="4" s="1"/>
  <c r="T97" i="4"/>
  <c r="S97" i="4"/>
  <c r="L97" i="4"/>
  <c r="K97" i="4"/>
  <c r="AC96" i="4"/>
  <c r="X96" i="4"/>
  <c r="W96" i="4"/>
  <c r="V96" i="4"/>
  <c r="U96" i="4"/>
  <c r="T96" i="4"/>
  <c r="S96" i="4"/>
  <c r="L96" i="4"/>
  <c r="K96" i="4"/>
  <c r="AC95" i="4"/>
  <c r="X95" i="4"/>
  <c r="W95" i="4"/>
  <c r="U95" i="4"/>
  <c r="V95" i="4" s="1"/>
  <c r="T95" i="4"/>
  <c r="S95" i="4"/>
  <c r="L95" i="4"/>
  <c r="K95" i="4"/>
  <c r="AC94" i="4"/>
  <c r="X94" i="4"/>
  <c r="W94" i="4"/>
  <c r="V94" i="4"/>
  <c r="U94" i="4"/>
  <c r="T94" i="4"/>
  <c r="S94" i="4"/>
  <c r="L94" i="4"/>
  <c r="K94" i="4"/>
  <c r="AC93" i="4"/>
  <c r="X93" i="4"/>
  <c r="W93" i="4"/>
  <c r="V93" i="4"/>
  <c r="U93" i="4"/>
  <c r="T93" i="4"/>
  <c r="S93" i="4"/>
  <c r="L93" i="4"/>
  <c r="K93" i="4"/>
  <c r="AC92" i="4"/>
  <c r="X92" i="4"/>
  <c r="W92" i="4"/>
  <c r="V92" i="4"/>
  <c r="U92" i="4"/>
  <c r="T92" i="4"/>
  <c r="S92" i="4"/>
  <c r="L92" i="4"/>
  <c r="K92" i="4"/>
  <c r="AC91" i="4"/>
  <c r="X91" i="4"/>
  <c r="W91" i="4"/>
  <c r="U91" i="4"/>
  <c r="V91" i="4" s="1"/>
  <c r="T91" i="4"/>
  <c r="S91" i="4"/>
  <c r="L91" i="4"/>
  <c r="K91" i="4"/>
  <c r="AC90" i="4"/>
  <c r="X90" i="4"/>
  <c r="W90" i="4"/>
  <c r="V90" i="4"/>
  <c r="U90" i="4"/>
  <c r="T90" i="4"/>
  <c r="S90" i="4"/>
  <c r="L90" i="4"/>
  <c r="K90" i="4"/>
  <c r="AC89" i="4"/>
  <c r="X89" i="4"/>
  <c r="W89" i="4"/>
  <c r="V89" i="4"/>
  <c r="U89" i="4"/>
  <c r="T89" i="4"/>
  <c r="S89" i="4"/>
  <c r="L89" i="4"/>
  <c r="K89" i="4"/>
  <c r="AC88" i="4"/>
  <c r="X88" i="4"/>
  <c r="W88" i="4"/>
  <c r="V88" i="4"/>
  <c r="U88" i="4"/>
  <c r="T88" i="4"/>
  <c r="S88" i="4"/>
  <c r="L88" i="4"/>
  <c r="K88" i="4"/>
  <c r="AC87" i="4"/>
  <c r="X87" i="4"/>
  <c r="W87" i="4"/>
  <c r="U87" i="4"/>
  <c r="V87" i="4" s="1"/>
  <c r="T87" i="4"/>
  <c r="S87" i="4"/>
  <c r="L87" i="4"/>
  <c r="K87" i="4"/>
  <c r="AC86" i="4"/>
  <c r="X86" i="4"/>
  <c r="W86" i="4"/>
  <c r="U86" i="4"/>
  <c r="V86" i="4" s="1"/>
  <c r="T86" i="4"/>
  <c r="S86" i="4"/>
  <c r="L86" i="4"/>
  <c r="K86" i="4"/>
  <c r="AC85" i="4"/>
  <c r="X85" i="4"/>
  <c r="W85" i="4"/>
  <c r="V85" i="4"/>
  <c r="U85" i="4"/>
  <c r="T85" i="4"/>
  <c r="S85" i="4"/>
  <c r="L85" i="4"/>
  <c r="K85" i="4"/>
  <c r="AC84" i="4"/>
  <c r="X84" i="4"/>
  <c r="W84" i="4"/>
  <c r="V84" i="4"/>
  <c r="U84" i="4"/>
  <c r="T84" i="4"/>
  <c r="S84" i="4"/>
  <c r="L84" i="4"/>
  <c r="K84" i="4"/>
  <c r="AC83" i="4"/>
  <c r="X83" i="4"/>
  <c r="W83" i="4"/>
  <c r="V83" i="4"/>
  <c r="U83" i="4"/>
  <c r="T83" i="4"/>
  <c r="S83" i="4"/>
  <c r="L83" i="4"/>
  <c r="K83" i="4"/>
  <c r="AC82" i="4"/>
  <c r="X82" i="4"/>
  <c r="W82" i="4"/>
  <c r="U82" i="4"/>
  <c r="V82" i="4" s="1"/>
  <c r="T82" i="4"/>
  <c r="S82" i="4"/>
  <c r="L82" i="4"/>
  <c r="K82" i="4"/>
  <c r="AC81" i="4"/>
  <c r="X81" i="4"/>
  <c r="W81" i="4"/>
  <c r="V81" i="4"/>
  <c r="U81" i="4"/>
  <c r="T81" i="4"/>
  <c r="S81" i="4"/>
  <c r="L81" i="4"/>
  <c r="K81" i="4"/>
  <c r="AC80" i="4"/>
  <c r="X80" i="4"/>
  <c r="W80" i="4"/>
  <c r="V80" i="4"/>
  <c r="U80" i="4"/>
  <c r="T80" i="4"/>
  <c r="S80" i="4"/>
  <c r="L80" i="4"/>
  <c r="K80" i="4"/>
  <c r="AC79" i="4"/>
  <c r="X79" i="4"/>
  <c r="W79" i="4"/>
  <c r="V79" i="4"/>
  <c r="U79" i="4"/>
  <c r="T79" i="4"/>
  <c r="S79" i="4"/>
  <c r="L79" i="4"/>
  <c r="K79" i="4"/>
  <c r="AC78" i="4"/>
  <c r="X78" i="4"/>
  <c r="W78" i="4"/>
  <c r="U78" i="4"/>
  <c r="V78" i="4" s="1"/>
  <c r="T78" i="4"/>
  <c r="S78" i="4"/>
  <c r="L78" i="4"/>
  <c r="K78" i="4"/>
  <c r="AC77" i="4"/>
  <c r="X77" i="4"/>
  <c r="W77" i="4"/>
  <c r="U77" i="4"/>
  <c r="V77" i="4" s="1"/>
  <c r="T77" i="4"/>
  <c r="S77" i="4"/>
  <c r="L77" i="4"/>
  <c r="K77" i="4"/>
  <c r="AC76" i="4"/>
  <c r="X76" i="4"/>
  <c r="W76" i="4"/>
  <c r="U76" i="4"/>
  <c r="V76" i="4" s="1"/>
  <c r="T76" i="4"/>
  <c r="S76" i="4"/>
  <c r="L76" i="4"/>
  <c r="K76" i="4"/>
  <c r="AC75" i="4"/>
  <c r="X75" i="4"/>
  <c r="W75" i="4"/>
  <c r="V75" i="4"/>
  <c r="U75" i="4"/>
  <c r="T75" i="4"/>
  <c r="S75" i="4"/>
  <c r="L75" i="4"/>
  <c r="K75" i="4"/>
  <c r="AC74" i="4"/>
  <c r="X74" i="4"/>
  <c r="W74" i="4"/>
  <c r="U74" i="4"/>
  <c r="V74" i="4" s="1"/>
  <c r="T74" i="4"/>
  <c r="S74" i="4"/>
  <c r="L74" i="4"/>
  <c r="K74" i="4"/>
  <c r="AC73" i="4"/>
  <c r="X73" i="4"/>
  <c r="W73" i="4"/>
  <c r="U73" i="4"/>
  <c r="V73" i="4" s="1"/>
  <c r="T73" i="4"/>
  <c r="S73" i="4"/>
  <c r="L73" i="4"/>
  <c r="K73" i="4"/>
  <c r="AC72" i="4"/>
  <c r="X72" i="4"/>
  <c r="W72" i="4"/>
  <c r="U72" i="4"/>
  <c r="V72" i="4" s="1"/>
  <c r="T72" i="4"/>
  <c r="S72" i="4"/>
  <c r="L72" i="4"/>
  <c r="K72" i="4"/>
  <c r="AC71" i="4"/>
  <c r="X71" i="4"/>
  <c r="W71" i="4"/>
  <c r="U71" i="4"/>
  <c r="V71" i="4" s="1"/>
  <c r="T71" i="4"/>
  <c r="S71" i="4"/>
  <c r="L71" i="4"/>
  <c r="K71" i="4"/>
  <c r="AC70" i="4"/>
  <c r="X70" i="4"/>
  <c r="W70" i="4"/>
  <c r="V70" i="4"/>
  <c r="U70" i="4"/>
  <c r="T70" i="4"/>
  <c r="S70" i="4"/>
  <c r="L70" i="4"/>
  <c r="K70" i="4"/>
  <c r="AC69" i="4"/>
  <c r="X69" i="4"/>
  <c r="W69" i="4"/>
  <c r="U69" i="4"/>
  <c r="V69" i="4" s="1"/>
  <c r="T69" i="4"/>
  <c r="S69" i="4"/>
  <c r="L69" i="4"/>
  <c r="K69" i="4"/>
  <c r="AC68" i="4"/>
  <c r="X68" i="4"/>
  <c r="W68" i="4"/>
  <c r="U68" i="4"/>
  <c r="V68" i="4" s="1"/>
  <c r="T68" i="4"/>
  <c r="S68" i="4"/>
  <c r="L68" i="4"/>
  <c r="K68" i="4"/>
  <c r="AC67" i="4"/>
  <c r="X67" i="4"/>
  <c r="W67" i="4"/>
  <c r="U67" i="4"/>
  <c r="V67" i="4" s="1"/>
  <c r="T67" i="4"/>
  <c r="S67" i="4"/>
  <c r="L67" i="4"/>
  <c r="K67" i="4"/>
  <c r="AC66" i="4"/>
  <c r="X66" i="4"/>
  <c r="W66" i="4"/>
  <c r="U66" i="4"/>
  <c r="V66" i="4" s="1"/>
  <c r="T66" i="4"/>
  <c r="S66" i="4"/>
  <c r="L66" i="4"/>
  <c r="K66" i="4"/>
  <c r="AC65" i="4"/>
  <c r="X65" i="4"/>
  <c r="W65" i="4"/>
  <c r="U65" i="4"/>
  <c r="V65" i="4" s="1"/>
  <c r="T65" i="4"/>
  <c r="S65" i="4"/>
  <c r="L65" i="4"/>
  <c r="K65" i="4"/>
  <c r="AC64" i="4"/>
  <c r="X64" i="4"/>
  <c r="W64" i="4"/>
  <c r="V64" i="4"/>
  <c r="U64" i="4"/>
  <c r="T64" i="4"/>
  <c r="S64" i="4"/>
  <c r="L64" i="4"/>
  <c r="K64" i="4"/>
  <c r="AC63" i="4"/>
  <c r="X63" i="4"/>
  <c r="W63" i="4"/>
  <c r="U63" i="4"/>
  <c r="V63" i="4" s="1"/>
  <c r="T63" i="4"/>
  <c r="S63" i="4"/>
  <c r="L63" i="4"/>
  <c r="K63" i="4"/>
  <c r="AC62" i="4"/>
  <c r="X62" i="4"/>
  <c r="W62" i="4"/>
  <c r="V62" i="4"/>
  <c r="U62" i="4"/>
  <c r="T62" i="4"/>
  <c r="S62" i="4"/>
  <c r="L62" i="4"/>
  <c r="K62" i="4"/>
  <c r="AC61" i="4"/>
  <c r="X61" i="4"/>
  <c r="W61" i="4"/>
  <c r="U61" i="4"/>
  <c r="V61" i="4" s="1"/>
  <c r="T61" i="4"/>
  <c r="S61" i="4"/>
  <c r="L61" i="4"/>
  <c r="K61" i="4"/>
  <c r="AC60" i="4"/>
  <c r="X60" i="4"/>
  <c r="W60" i="4"/>
  <c r="V60" i="4"/>
  <c r="U60" i="4"/>
  <c r="T60" i="4"/>
  <c r="S60" i="4"/>
  <c r="L60" i="4"/>
  <c r="K60" i="4"/>
  <c r="AC59" i="4"/>
  <c r="X59" i="4"/>
  <c r="W59" i="4"/>
  <c r="V59" i="4"/>
  <c r="U59" i="4"/>
  <c r="T59" i="4"/>
  <c r="S59" i="4"/>
  <c r="L59" i="4"/>
  <c r="K59" i="4"/>
  <c r="AC58" i="4"/>
  <c r="X58" i="4"/>
  <c r="W58" i="4"/>
  <c r="V58" i="4"/>
  <c r="U58" i="4"/>
  <c r="T58" i="4"/>
  <c r="S58" i="4"/>
  <c r="L58" i="4"/>
  <c r="K58" i="4"/>
  <c r="AC57" i="4"/>
  <c r="X57" i="4"/>
  <c r="W57" i="4"/>
  <c r="U57" i="4"/>
  <c r="V57" i="4" s="1"/>
  <c r="T57" i="4"/>
  <c r="S57" i="4"/>
  <c r="L57" i="4"/>
  <c r="K57" i="4"/>
  <c r="AC56" i="4"/>
  <c r="X56" i="4"/>
  <c r="W56" i="4"/>
  <c r="V56" i="4"/>
  <c r="U56" i="4"/>
  <c r="T56" i="4"/>
  <c r="S56" i="4"/>
  <c r="L56" i="4"/>
  <c r="K56" i="4"/>
  <c r="AC55" i="4"/>
  <c r="X55" i="4"/>
  <c r="W55" i="4"/>
  <c r="V55" i="4"/>
  <c r="U55" i="4"/>
  <c r="T55" i="4"/>
  <c r="S55" i="4"/>
  <c r="L55" i="4"/>
  <c r="K55" i="4"/>
  <c r="AC54" i="4"/>
  <c r="X54" i="4"/>
  <c r="W54" i="4"/>
  <c r="V54" i="4"/>
  <c r="U54" i="4"/>
  <c r="T54" i="4"/>
  <c r="S54" i="4"/>
  <c r="L54" i="4"/>
  <c r="K54" i="4"/>
  <c r="AC53" i="4"/>
  <c r="X53" i="4"/>
  <c r="W53" i="4"/>
  <c r="U53" i="4"/>
  <c r="V53" i="4" s="1"/>
  <c r="T53" i="4"/>
  <c r="S53" i="4"/>
  <c r="L53" i="4"/>
  <c r="K53" i="4"/>
  <c r="AC52" i="4"/>
  <c r="X52" i="4"/>
  <c r="W52" i="4"/>
  <c r="U52" i="4"/>
  <c r="V52" i="4" s="1"/>
  <c r="T52" i="4"/>
  <c r="S52" i="4"/>
  <c r="L52" i="4"/>
  <c r="K52" i="4"/>
  <c r="AC51" i="4"/>
  <c r="X51" i="4"/>
  <c r="W51" i="4"/>
  <c r="U51" i="4"/>
  <c r="V51" i="4" s="1"/>
  <c r="T51" i="4"/>
  <c r="S51" i="4"/>
  <c r="L51" i="4"/>
  <c r="K51" i="4"/>
  <c r="AC50" i="4"/>
  <c r="X50" i="4"/>
  <c r="W50" i="4"/>
  <c r="U50" i="4"/>
  <c r="V50" i="4" s="1"/>
  <c r="T50" i="4"/>
  <c r="S50" i="4"/>
  <c r="L50" i="4"/>
  <c r="K50" i="4"/>
  <c r="AC49" i="4"/>
  <c r="X49" i="4"/>
  <c r="W49" i="4"/>
  <c r="U49" i="4"/>
  <c r="V49" i="4" s="1"/>
  <c r="T49" i="4"/>
  <c r="S49" i="4"/>
  <c r="L49" i="4"/>
  <c r="K49" i="4"/>
  <c r="AC48" i="4"/>
  <c r="X48" i="4"/>
  <c r="W48" i="4"/>
  <c r="U48" i="4"/>
  <c r="V48" i="4" s="1"/>
  <c r="T48" i="4"/>
  <c r="S48" i="4"/>
  <c r="L48" i="4"/>
  <c r="K48" i="4"/>
  <c r="AC47" i="4"/>
  <c r="X47" i="4"/>
  <c r="W47" i="4"/>
  <c r="U47" i="4"/>
  <c r="V47" i="4" s="1"/>
  <c r="T47" i="4"/>
  <c r="S47" i="4"/>
  <c r="L47" i="4"/>
  <c r="K47" i="4"/>
  <c r="AC46" i="4"/>
  <c r="X46" i="4"/>
  <c r="W46" i="4"/>
  <c r="V46" i="4"/>
  <c r="U46" i="4"/>
  <c r="T46" i="4"/>
  <c r="S46" i="4"/>
  <c r="L46" i="4"/>
  <c r="K46" i="4"/>
  <c r="AC45" i="4"/>
  <c r="X45" i="4"/>
  <c r="W45" i="4"/>
  <c r="U45" i="4"/>
  <c r="V45" i="4" s="1"/>
  <c r="T45" i="4"/>
  <c r="S45" i="4"/>
  <c r="L45" i="4"/>
  <c r="K45" i="4"/>
  <c r="AC44" i="4"/>
  <c r="X44" i="4"/>
  <c r="W44" i="4"/>
  <c r="V44" i="4"/>
  <c r="U44" i="4"/>
  <c r="T44" i="4"/>
  <c r="S44" i="4"/>
  <c r="L44" i="4"/>
  <c r="K44" i="4"/>
  <c r="AC43" i="4"/>
  <c r="X43" i="4"/>
  <c r="W43" i="4"/>
  <c r="V43" i="4"/>
  <c r="U43" i="4"/>
  <c r="T43" i="4"/>
  <c r="S43" i="4"/>
  <c r="L43" i="4"/>
  <c r="K43" i="4"/>
  <c r="AC42" i="4"/>
  <c r="X42" i="4"/>
  <c r="W42" i="4"/>
  <c r="V42" i="4"/>
  <c r="U42" i="4"/>
  <c r="T42" i="4"/>
  <c r="S42" i="4"/>
  <c r="L42" i="4"/>
  <c r="K42" i="4"/>
  <c r="AC41" i="4"/>
  <c r="X41" i="4"/>
  <c r="W41" i="4"/>
  <c r="U41" i="4"/>
  <c r="V41" i="4" s="1"/>
  <c r="T41" i="4"/>
  <c r="S41" i="4"/>
  <c r="L41" i="4"/>
  <c r="K41" i="4"/>
  <c r="AC40" i="4"/>
  <c r="X40" i="4"/>
  <c r="W40" i="4"/>
  <c r="V40" i="4"/>
  <c r="U40" i="4"/>
  <c r="T40" i="4"/>
  <c r="S40" i="4"/>
  <c r="L40" i="4"/>
  <c r="K40" i="4"/>
  <c r="AC39" i="4"/>
  <c r="X39" i="4"/>
  <c r="W39" i="4"/>
  <c r="V39" i="4"/>
  <c r="U39" i="4"/>
  <c r="T39" i="4"/>
  <c r="S39" i="4"/>
  <c r="L39" i="4"/>
  <c r="K39" i="4"/>
  <c r="AC38" i="4"/>
  <c r="X38" i="4"/>
  <c r="W38" i="4"/>
  <c r="V38" i="4"/>
  <c r="U38" i="4"/>
  <c r="T38" i="4"/>
  <c r="S38" i="4"/>
  <c r="L38" i="4"/>
  <c r="K38" i="4"/>
  <c r="AC37" i="4"/>
  <c r="X37" i="4"/>
  <c r="W37" i="4"/>
  <c r="U37" i="4"/>
  <c r="V37" i="4" s="1"/>
  <c r="T37" i="4"/>
  <c r="S37" i="4"/>
  <c r="L37" i="4"/>
  <c r="K37" i="4"/>
  <c r="AC36" i="4"/>
  <c r="X36" i="4"/>
  <c r="W36" i="4"/>
  <c r="U36" i="4"/>
  <c r="V36" i="4" s="1"/>
  <c r="T36" i="4"/>
  <c r="S36" i="4"/>
  <c r="L36" i="4"/>
  <c r="K36" i="4"/>
  <c r="AC35" i="4"/>
  <c r="X35" i="4"/>
  <c r="W35" i="4"/>
  <c r="U35" i="4"/>
  <c r="V35" i="4" s="1"/>
  <c r="T35" i="4"/>
  <c r="S35" i="4"/>
  <c r="L35" i="4"/>
  <c r="K35" i="4"/>
  <c r="AC34" i="4"/>
  <c r="X34" i="4"/>
  <c r="W34" i="4"/>
  <c r="U34" i="4"/>
  <c r="V34" i="4" s="1"/>
  <c r="T34" i="4"/>
  <c r="S34" i="4"/>
  <c r="L34" i="4"/>
  <c r="K34" i="4"/>
  <c r="AC33" i="4"/>
  <c r="X33" i="4"/>
  <c r="W33" i="4"/>
  <c r="U33" i="4"/>
  <c r="V33" i="4" s="1"/>
  <c r="T33" i="4"/>
  <c r="S33" i="4"/>
  <c r="L33" i="4"/>
  <c r="K33" i="4"/>
  <c r="AC32" i="4"/>
  <c r="X32" i="4"/>
  <c r="W32" i="4"/>
  <c r="U32" i="4"/>
  <c r="V32" i="4" s="1"/>
  <c r="T32" i="4"/>
  <c r="S32" i="4"/>
  <c r="L32" i="4"/>
  <c r="K32" i="4"/>
  <c r="AC31" i="4"/>
  <c r="X31" i="4"/>
  <c r="W31" i="4"/>
  <c r="U31" i="4"/>
  <c r="V31" i="4" s="1"/>
  <c r="T31" i="4"/>
  <c r="S31" i="4"/>
  <c r="L31" i="4"/>
  <c r="K31" i="4"/>
  <c r="AC30" i="4"/>
  <c r="X30" i="4"/>
  <c r="W30" i="4"/>
  <c r="V30" i="4"/>
  <c r="U30" i="4"/>
  <c r="T30" i="4"/>
  <c r="S30" i="4"/>
  <c r="L30" i="4"/>
  <c r="K30" i="4"/>
  <c r="AC29" i="4"/>
  <c r="X29" i="4"/>
  <c r="W29" i="4"/>
  <c r="U29" i="4"/>
  <c r="V29" i="4" s="1"/>
  <c r="T29" i="4"/>
  <c r="S29" i="4"/>
  <c r="L29" i="4"/>
  <c r="K29" i="4"/>
  <c r="AC28" i="4"/>
  <c r="X28" i="4"/>
  <c r="W28" i="4"/>
  <c r="V28" i="4"/>
  <c r="U28" i="4"/>
  <c r="T28" i="4"/>
  <c r="S28" i="4"/>
  <c r="L28" i="4"/>
  <c r="K28" i="4"/>
  <c r="AC27" i="4"/>
  <c r="X27" i="4"/>
  <c r="W27" i="4"/>
  <c r="V27" i="4"/>
  <c r="U27" i="4"/>
  <c r="T27" i="4"/>
  <c r="S27" i="4"/>
  <c r="L27" i="4"/>
  <c r="K27" i="4"/>
  <c r="AC26" i="4"/>
  <c r="X26" i="4"/>
  <c r="W26" i="4"/>
  <c r="V26" i="4"/>
  <c r="U26" i="4"/>
  <c r="T26" i="4"/>
  <c r="S26" i="4"/>
  <c r="L26" i="4"/>
  <c r="K26" i="4"/>
  <c r="AC25" i="4"/>
  <c r="X25" i="4"/>
  <c r="W25" i="4"/>
  <c r="U25" i="4"/>
  <c r="V25" i="4" s="1"/>
  <c r="T25" i="4"/>
  <c r="S25" i="4"/>
  <c r="L25" i="4"/>
  <c r="K25" i="4"/>
  <c r="AC24" i="4"/>
  <c r="X24" i="4"/>
  <c r="W24" i="4"/>
  <c r="V24" i="4"/>
  <c r="U24" i="4"/>
  <c r="T24" i="4"/>
  <c r="S24" i="4"/>
  <c r="L24" i="4"/>
  <c r="K24" i="4"/>
  <c r="AC23" i="4"/>
  <c r="X23" i="4"/>
  <c r="W23" i="4"/>
  <c r="U23" i="4"/>
  <c r="V23" i="4" s="1"/>
  <c r="T23" i="4"/>
  <c r="S23" i="4"/>
  <c r="L23" i="4"/>
  <c r="K23" i="4"/>
  <c r="AC22" i="4"/>
  <c r="X22" i="4"/>
  <c r="W22" i="4"/>
  <c r="V22" i="4"/>
  <c r="U22" i="4"/>
  <c r="T22" i="4"/>
  <c r="S22" i="4"/>
  <c r="L22" i="4"/>
  <c r="K22" i="4"/>
  <c r="AC21" i="4"/>
  <c r="X21" i="4"/>
  <c r="W21" i="4"/>
  <c r="U21" i="4"/>
  <c r="V21" i="4" s="1"/>
  <c r="T21" i="4"/>
  <c r="S21" i="4"/>
  <c r="L21" i="4"/>
  <c r="K21" i="4"/>
  <c r="AC20" i="4"/>
  <c r="X20" i="4"/>
  <c r="W20" i="4"/>
  <c r="U20" i="4"/>
  <c r="V20" i="4" s="1"/>
  <c r="T20" i="4"/>
  <c r="S20" i="4"/>
  <c r="L20" i="4"/>
  <c r="K20" i="4"/>
  <c r="AC19" i="4"/>
  <c r="X19" i="4"/>
  <c r="W19" i="4"/>
  <c r="U19" i="4"/>
  <c r="V19" i="4" s="1"/>
  <c r="T19" i="4"/>
  <c r="S19" i="4"/>
  <c r="L19" i="4"/>
  <c r="K19" i="4"/>
  <c r="AC18" i="4"/>
  <c r="X18" i="4"/>
  <c r="W18" i="4"/>
  <c r="U18" i="4"/>
  <c r="V18" i="4" s="1"/>
  <c r="T18" i="4"/>
  <c r="S18" i="4"/>
  <c r="L18" i="4"/>
  <c r="K18" i="4"/>
  <c r="AC17" i="4"/>
  <c r="X17" i="4"/>
  <c r="W17" i="4"/>
  <c r="U17" i="4"/>
  <c r="V17" i="4" s="1"/>
  <c r="T17" i="4"/>
  <c r="S17" i="4"/>
  <c r="L17" i="4"/>
  <c r="K17" i="4"/>
  <c r="AC16" i="4"/>
  <c r="X16" i="4"/>
  <c r="W16" i="4"/>
  <c r="U16" i="4"/>
  <c r="V16" i="4" s="1"/>
  <c r="T16" i="4"/>
  <c r="S16" i="4"/>
  <c r="L16" i="4"/>
  <c r="K16" i="4"/>
  <c r="AC15" i="4"/>
  <c r="X15" i="4"/>
  <c r="W15" i="4"/>
  <c r="U15" i="4"/>
  <c r="V15" i="4" s="1"/>
  <c r="T15" i="4"/>
  <c r="S15" i="4"/>
  <c r="L15" i="4"/>
  <c r="K15" i="4"/>
  <c r="AC14" i="4"/>
  <c r="X14" i="4"/>
  <c r="W14" i="4"/>
  <c r="V14" i="4"/>
  <c r="U14" i="4"/>
  <c r="T14" i="4"/>
  <c r="S14" i="4"/>
  <c r="L14" i="4"/>
  <c r="K14" i="4"/>
  <c r="AC13" i="4"/>
  <c r="X13" i="4"/>
  <c r="W13" i="4"/>
  <c r="U13" i="4"/>
  <c r="V13" i="4" s="1"/>
  <c r="T13" i="4"/>
  <c r="S13" i="4"/>
  <c r="L13" i="4"/>
  <c r="K13" i="4"/>
  <c r="AC12" i="4"/>
  <c r="X12" i="4"/>
  <c r="W12" i="4"/>
  <c r="V12" i="4"/>
  <c r="U12" i="4"/>
  <c r="T12" i="4"/>
  <c r="S12" i="4"/>
  <c r="L12" i="4"/>
  <c r="K12" i="4"/>
  <c r="AC11" i="4"/>
  <c r="X11" i="4"/>
  <c r="W11" i="4"/>
  <c r="V11" i="4"/>
  <c r="U11" i="4"/>
  <c r="T11" i="4"/>
  <c r="S11" i="4"/>
  <c r="L11" i="4"/>
  <c r="K11" i="4"/>
  <c r="AC10" i="4"/>
  <c r="X10" i="4"/>
  <c r="W10" i="4"/>
  <c r="V10" i="4"/>
  <c r="U10" i="4"/>
  <c r="T10" i="4"/>
  <c r="S10" i="4"/>
  <c r="L10" i="4"/>
  <c r="K10" i="4"/>
  <c r="AC9" i="4"/>
  <c r="X9" i="4"/>
  <c r="W9" i="4"/>
  <c r="U9" i="4"/>
  <c r="V9" i="4" s="1"/>
  <c r="T9" i="4"/>
  <c r="S9" i="4"/>
  <c r="L9" i="4"/>
  <c r="K9" i="4"/>
  <c r="AC8" i="4"/>
  <c r="X8" i="4"/>
  <c r="W8" i="4"/>
  <c r="V8" i="4"/>
  <c r="U8" i="4"/>
  <c r="T8" i="4"/>
  <c r="S8" i="4"/>
  <c r="L8" i="4"/>
  <c r="K8" i="4"/>
  <c r="X7" i="4"/>
  <c r="AC7" i="4" s="1"/>
  <c r="W7" i="4"/>
  <c r="U7" i="4"/>
  <c r="V7" i="4" s="1"/>
  <c r="T7" i="4"/>
  <c r="S7" i="4"/>
  <c r="L7" i="4"/>
  <c r="K7" i="4"/>
  <c r="B21" i="2"/>
  <c r="B20" i="2"/>
  <c r="B19" i="2"/>
  <c r="B18" i="2"/>
  <c r="B16" i="2"/>
  <c r="B15" i="2"/>
  <c r="B13" i="2"/>
  <c r="B12" i="2"/>
  <c r="B9" i="2"/>
  <c r="B6" i="2"/>
  <c r="B4" i="2"/>
  <c r="B3" i="2"/>
  <c r="BJ5" i="3"/>
  <c r="BJ8" i="3"/>
  <c r="BJ6" i="3"/>
  <c r="BJ7" i="3"/>
  <c r="B7" i="2" l="1"/>
  <c r="B10" i="2"/>
  <c r="P196" i="4"/>
  <c r="P190" i="4"/>
  <c r="P116" i="4"/>
  <c r="P149" i="4"/>
  <c r="P148" i="4"/>
  <c r="P153" i="4"/>
  <c r="P154" i="4"/>
  <c r="P186" i="4"/>
  <c r="P188" i="4"/>
  <c r="P122" i="4"/>
  <c r="P124" i="4"/>
  <c r="P128" i="4"/>
  <c r="P126" i="4"/>
  <c r="P127" i="4"/>
  <c r="P130" i="4"/>
  <c r="P251" i="4"/>
  <c r="P286" i="4"/>
  <c r="P288" i="4"/>
  <c r="P328" i="4"/>
  <c r="P355" i="4"/>
  <c r="P350" i="4"/>
  <c r="P134" i="4"/>
  <c r="P165" i="4"/>
  <c r="P258" i="4"/>
  <c r="P265" i="4"/>
  <c r="P294" i="4"/>
  <c r="P109" i="4"/>
  <c r="P107" i="4"/>
  <c r="P108" i="4"/>
  <c r="P140" i="4"/>
  <c r="P171" i="4"/>
  <c r="P115" i="4"/>
  <c r="P113" i="4"/>
  <c r="P142" i="4"/>
  <c r="P315" i="4"/>
  <c r="P220" i="4"/>
  <c r="P274" i="4"/>
  <c r="P147" i="4"/>
  <c r="P150" i="4"/>
  <c r="P152" i="4"/>
  <c r="P151" i="4"/>
  <c r="P187" i="4"/>
  <c r="P230" i="4"/>
  <c r="P232" i="4"/>
  <c r="P111" i="4"/>
  <c r="P146" i="4"/>
  <c r="P218" i="4"/>
  <c r="P222" i="4"/>
  <c r="P155" i="4"/>
  <c r="P198" i="4"/>
  <c r="P138" i="4"/>
  <c r="P296" i="4"/>
  <c r="P177" i="4"/>
  <c r="P224" i="4"/>
  <c r="P158" i="4"/>
  <c r="P194" i="4"/>
  <c r="P201" i="4"/>
  <c r="P238" i="4"/>
  <c r="P240" i="4"/>
  <c r="P244" i="4"/>
  <c r="P242" i="4"/>
  <c r="P243" i="4"/>
  <c r="P246" i="4"/>
  <c r="P248" i="4"/>
  <c r="P283" i="4"/>
  <c r="P123" i="4"/>
  <c r="P129" i="4"/>
  <c r="P250" i="4"/>
  <c r="P204" i="4"/>
  <c r="P203" i="4"/>
  <c r="P202" i="4"/>
  <c r="R3" i="4"/>
  <c r="P125" i="4"/>
  <c r="P131" i="4"/>
  <c r="P252" i="4"/>
  <c r="P104" i="4"/>
  <c r="P162" i="4"/>
  <c r="P210" i="4"/>
  <c r="P291" i="4"/>
  <c r="P310" i="4"/>
  <c r="P106" i="4"/>
  <c r="P166" i="4"/>
  <c r="P168" i="4"/>
  <c r="P260" i="4"/>
  <c r="P254" i="4"/>
  <c r="P262" i="4"/>
  <c r="P264" i="4"/>
  <c r="P268" i="4"/>
  <c r="P267" i="4"/>
  <c r="P266" i="4"/>
  <c r="P270" i="4"/>
  <c r="P110" i="4"/>
  <c r="P112" i="4"/>
  <c r="P137" i="4"/>
  <c r="P132" i="4"/>
  <c r="P139" i="4"/>
  <c r="P141" i="4"/>
  <c r="P143" i="4"/>
  <c r="P337" i="4"/>
  <c r="P145" i="4"/>
  <c r="P174" i="4"/>
  <c r="P176" i="4"/>
  <c r="P180" i="4"/>
  <c r="P178" i="4"/>
  <c r="P179" i="4"/>
  <c r="P182" i="4"/>
  <c r="P184" i="4"/>
  <c r="P219" i="4"/>
  <c r="P225" i="4"/>
  <c r="P227" i="4"/>
  <c r="P317" i="4"/>
  <c r="P318" i="4"/>
  <c r="P211" i="4"/>
  <c r="P229" i="4"/>
  <c r="P275" i="4"/>
  <c r="P293" i="4"/>
  <c r="P302" i="4"/>
  <c r="P304" i="4"/>
  <c r="P335" i="4"/>
  <c r="P361" i="4"/>
  <c r="P374" i="4"/>
  <c r="P448" i="4"/>
  <c r="P450" i="4"/>
  <c r="P144" i="4"/>
  <c r="P167" i="4"/>
  <c r="P209" i="4"/>
  <c r="P231" i="4"/>
  <c r="P273" i="4"/>
  <c r="P308" i="4"/>
  <c r="P321" i="4"/>
  <c r="P348" i="4"/>
  <c r="P372" i="4"/>
  <c r="P391" i="4"/>
  <c r="P469" i="4"/>
  <c r="P475" i="4"/>
  <c r="P486" i="4"/>
  <c r="P508" i="4"/>
  <c r="P509" i="4"/>
  <c r="P511" i="4"/>
  <c r="P557" i="4"/>
  <c r="P556" i="4"/>
  <c r="P189" i="4"/>
  <c r="P253" i="4"/>
  <c r="P284" i="4"/>
  <c r="P295" i="4"/>
  <c r="P306" i="4"/>
  <c r="P319" i="4"/>
  <c r="P349" i="4"/>
  <c r="P363" i="4"/>
  <c r="P393" i="4"/>
  <c r="P431" i="4"/>
  <c r="P430" i="4"/>
  <c r="P433" i="4"/>
  <c r="P435" i="4"/>
  <c r="P453" i="4"/>
  <c r="P471" i="4"/>
  <c r="P120" i="4"/>
  <c r="P160" i="4"/>
  <c r="P169" i="4"/>
  <c r="P191" i="4"/>
  <c r="P226" i="4"/>
  <c r="P233" i="4"/>
  <c r="P255" i="4"/>
  <c r="P290" i="4"/>
  <c r="P345" i="4"/>
  <c r="P354" i="4"/>
  <c r="P443" i="4"/>
  <c r="P473" i="4"/>
  <c r="P477" i="4"/>
  <c r="P540" i="4"/>
  <c r="P677" i="4"/>
  <c r="P667" i="4"/>
  <c r="P195" i="4"/>
  <c r="P213" i="4"/>
  <c r="P259" i="4"/>
  <c r="P277" i="4"/>
  <c r="P297" i="4"/>
  <c r="P307" i="4"/>
  <c r="P330" i="4"/>
  <c r="P341" i="4"/>
  <c r="P365" i="4"/>
  <c r="P378" i="4"/>
  <c r="P414" i="4"/>
  <c r="P416" i="4"/>
  <c r="P418" i="4"/>
  <c r="P439" i="4"/>
  <c r="P504" i="4"/>
  <c r="P193" i="4"/>
  <c r="P215" i="4"/>
  <c r="P257" i="4"/>
  <c r="P279" i="4"/>
  <c r="P299" i="4"/>
  <c r="P325" i="4"/>
  <c r="P343" i="4"/>
  <c r="P347" i="4"/>
  <c r="P356" i="4"/>
  <c r="P367" i="4"/>
  <c r="P382" i="4"/>
  <c r="P421" i="4"/>
  <c r="P441" i="4"/>
  <c r="P519" i="4"/>
  <c r="P546" i="4"/>
  <c r="P548" i="4"/>
  <c r="P631" i="4"/>
  <c r="P656" i="4"/>
  <c r="P658" i="4"/>
  <c r="P640" i="4"/>
  <c r="P624" i="4"/>
  <c r="P324" i="4"/>
  <c r="P359" i="4"/>
  <c r="P173" i="4"/>
  <c r="P237" i="4"/>
  <c r="P332" i="4"/>
  <c r="P358" i="4"/>
  <c r="P386" i="4"/>
  <c r="P401" i="4"/>
  <c r="P403" i="4"/>
  <c r="P479" i="4"/>
  <c r="P478" i="4"/>
  <c r="P502" i="4"/>
  <c r="P635" i="4"/>
  <c r="P641" i="4"/>
  <c r="P119" i="4"/>
  <c r="P136" i="4"/>
  <c r="P159" i="4"/>
  <c r="P164" i="4"/>
  <c r="P175" i="4"/>
  <c r="P217" i="4"/>
  <c r="P239" i="4"/>
  <c r="P281" i="4"/>
  <c r="P314" i="4"/>
  <c r="P360" i="4"/>
  <c r="P464" i="4"/>
  <c r="P466" i="4"/>
  <c r="P481" i="4"/>
  <c r="P503" i="4"/>
  <c r="P637" i="4"/>
  <c r="P185" i="4"/>
  <c r="P157" i="4"/>
  <c r="P197" i="4"/>
  <c r="P208" i="4"/>
  <c r="P228" i="4"/>
  <c r="P261" i="4"/>
  <c r="P272" i="4"/>
  <c r="P292" i="4"/>
  <c r="P303" i="4"/>
  <c r="P320" i="4"/>
  <c r="P334" i="4"/>
  <c r="P336" i="4"/>
  <c r="P364" i="4"/>
  <c r="P387" i="4"/>
  <c r="P389" i="4"/>
  <c r="P407" i="4"/>
  <c r="P447" i="4"/>
  <c r="P446" i="4"/>
  <c r="P449" i="4"/>
  <c r="P483" i="4"/>
  <c r="P170" i="4"/>
  <c r="P199" i="4"/>
  <c r="P234" i="4"/>
  <c r="P263" i="4"/>
  <c r="P316" i="4"/>
  <c r="P340" i="4"/>
  <c r="P409" i="4"/>
  <c r="P413" i="4"/>
  <c r="P470" i="4"/>
  <c r="P485" i="4"/>
  <c r="P535" i="4"/>
  <c r="P622" i="4"/>
  <c r="P603" i="4"/>
  <c r="P156" i="4"/>
  <c r="P271" i="4"/>
  <c r="P463" i="4"/>
  <c r="P462" i="4"/>
  <c r="K42" i="6"/>
  <c r="H41" i="6"/>
  <c r="M26" i="6"/>
  <c r="J25" i="6"/>
  <c r="O9" i="6"/>
  <c r="L8" i="6"/>
  <c r="J42" i="6"/>
  <c r="G41" i="6"/>
  <c r="L26" i="6"/>
  <c r="I25" i="6"/>
  <c r="N9" i="6"/>
  <c r="K8" i="6"/>
  <c r="I42" i="6"/>
  <c r="F41" i="6"/>
  <c r="K26" i="6"/>
  <c r="H25" i="6"/>
  <c r="M9" i="6"/>
  <c r="J8" i="6"/>
  <c r="H42" i="6"/>
  <c r="E41" i="6"/>
  <c r="J26" i="6"/>
  <c r="G25" i="6"/>
  <c r="L9" i="6"/>
  <c r="I8" i="6"/>
  <c r="F42" i="6"/>
  <c r="H26" i="6"/>
  <c r="E25" i="6"/>
  <c r="J9" i="6"/>
  <c r="G8" i="6"/>
  <c r="E42" i="6"/>
  <c r="G26" i="6"/>
  <c r="D25" i="6"/>
  <c r="I9" i="6"/>
  <c r="F8" i="6"/>
  <c r="D42" i="6"/>
  <c r="F26" i="6"/>
  <c r="H9" i="6"/>
  <c r="E8" i="6"/>
  <c r="O41" i="6"/>
  <c r="D26" i="6"/>
  <c r="F9" i="6"/>
  <c r="N41" i="6"/>
  <c r="P25" i="6"/>
  <c r="E9" i="6"/>
  <c r="P42" i="6"/>
  <c r="M41" i="6"/>
  <c r="O25" i="6"/>
  <c r="D9" i="6"/>
  <c r="O42" i="6"/>
  <c r="L41" i="6"/>
  <c r="N25" i="6"/>
  <c r="P8" i="6"/>
  <c r="N42" i="6"/>
  <c r="K41" i="6"/>
  <c r="P26" i="6"/>
  <c r="M25" i="6"/>
  <c r="O8" i="6"/>
  <c r="M42" i="6"/>
  <c r="J41" i="6"/>
  <c r="O26" i="6"/>
  <c r="L25" i="6"/>
  <c r="N8" i="6"/>
  <c r="L42" i="6"/>
  <c r="I41" i="6"/>
  <c r="N26" i="6"/>
  <c r="K25" i="6"/>
  <c r="P9" i="6"/>
  <c r="M8" i="6"/>
  <c r="D41" i="6"/>
  <c r="I26" i="6"/>
  <c r="E26" i="6"/>
  <c r="F25" i="6"/>
  <c r="K9" i="6"/>
  <c r="G9" i="6"/>
  <c r="H8" i="6"/>
  <c r="D8" i="6"/>
  <c r="G42" i="6"/>
  <c r="P41" i="6"/>
  <c r="P214" i="4"/>
  <c r="P221" i="4"/>
  <c r="P278" i="4"/>
  <c r="P285" i="4"/>
  <c r="P338" i="4"/>
  <c r="P351" i="4"/>
  <c r="P432" i="4"/>
  <c r="P434" i="4"/>
  <c r="P459" i="4"/>
  <c r="P587" i="4"/>
  <c r="P583" i="4"/>
  <c r="P577" i="4"/>
  <c r="P576" i="4"/>
  <c r="P589" i="4"/>
  <c r="P207" i="4"/>
  <c r="P249" i="4"/>
  <c r="P105" i="4"/>
  <c r="P114" i="4"/>
  <c r="P135" i="4"/>
  <c r="P163" i="4"/>
  <c r="P223" i="4"/>
  <c r="P287" i="4"/>
  <c r="P353" i="4"/>
  <c r="P357" i="4"/>
  <c r="P375" i="4"/>
  <c r="P377" i="4"/>
  <c r="P437" i="4"/>
  <c r="P455" i="4"/>
  <c r="P489" i="4"/>
  <c r="P491" i="4"/>
  <c r="P543" i="4"/>
  <c r="P537" i="4"/>
  <c r="P591" i="4"/>
  <c r="P593" i="4"/>
  <c r="P595" i="4"/>
  <c r="P597" i="4"/>
  <c r="P599" i="4"/>
  <c r="P601" i="4"/>
  <c r="P600" i="4"/>
  <c r="P312" i="4"/>
  <c r="P313" i="4"/>
  <c r="P121" i="4"/>
  <c r="P133" i="4"/>
  <c r="P161" i="4"/>
  <c r="P181" i="4"/>
  <c r="P192" i="4"/>
  <c r="P212" i="4"/>
  <c r="P245" i="4"/>
  <c r="P256" i="4"/>
  <c r="P276" i="4"/>
  <c r="P298" i="4"/>
  <c r="P309" i="4"/>
  <c r="P329" i="4"/>
  <c r="P333" i="4"/>
  <c r="P339" i="4"/>
  <c r="P366" i="4"/>
  <c r="P379" i="4"/>
  <c r="P415" i="4"/>
  <c r="P417" i="4"/>
  <c r="P419" i="4"/>
  <c r="P457" i="4"/>
  <c r="P461" i="4"/>
  <c r="P516" i="4"/>
  <c r="P518" i="4"/>
  <c r="P517" i="4"/>
  <c r="P545" i="4"/>
  <c r="P647" i="4"/>
  <c r="P183" i="4"/>
  <c r="P247" i="4"/>
  <c r="P289" i="4"/>
  <c r="P331" i="4"/>
  <c r="P383" i="4"/>
  <c r="P380" i="4"/>
  <c r="P398" i="4"/>
  <c r="P117" i="4"/>
  <c r="N44" i="6"/>
  <c r="N46" i="6" s="1"/>
  <c r="P28" i="6"/>
  <c r="P30" i="6" s="1"/>
  <c r="E12" i="6"/>
  <c r="P45" i="6"/>
  <c r="M44" i="6"/>
  <c r="O28" i="6"/>
  <c r="D12" i="6"/>
  <c r="O45" i="6"/>
  <c r="L44" i="6"/>
  <c r="N28" i="6"/>
  <c r="P11" i="6"/>
  <c r="N45" i="6"/>
  <c r="K44" i="6"/>
  <c r="P29" i="6"/>
  <c r="M28" i="6"/>
  <c r="M30" i="6" s="1"/>
  <c r="O11" i="6"/>
  <c r="L45" i="6"/>
  <c r="I44" i="6"/>
  <c r="I46" i="6" s="1"/>
  <c r="N29" i="6"/>
  <c r="K28" i="6"/>
  <c r="K30" i="6" s="1"/>
  <c r="P12" i="6"/>
  <c r="M11" i="6"/>
  <c r="K45" i="6"/>
  <c r="H44" i="6"/>
  <c r="H46" i="6" s="1"/>
  <c r="M29" i="6"/>
  <c r="J28" i="6"/>
  <c r="O12" i="6"/>
  <c r="L11" i="6"/>
  <c r="J45" i="6"/>
  <c r="G44" i="6"/>
  <c r="L29" i="6"/>
  <c r="I28" i="6"/>
  <c r="N12" i="6"/>
  <c r="K11" i="6"/>
  <c r="K13" i="6" s="1"/>
  <c r="H45" i="6"/>
  <c r="E44" i="6"/>
  <c r="J29" i="6"/>
  <c r="G28" i="6"/>
  <c r="L12" i="6"/>
  <c r="I11" i="6"/>
  <c r="I13" i="6" s="1"/>
  <c r="G45" i="6"/>
  <c r="D44" i="6"/>
  <c r="I29" i="6"/>
  <c r="F28" i="6"/>
  <c r="K12" i="6"/>
  <c r="H11" i="6"/>
  <c r="F45" i="6"/>
  <c r="H29" i="6"/>
  <c r="E28" i="6"/>
  <c r="E30" i="6" s="1"/>
  <c r="J12" i="6"/>
  <c r="G11" i="6"/>
  <c r="E45" i="6"/>
  <c r="G29" i="6"/>
  <c r="D28" i="6"/>
  <c r="I12" i="6"/>
  <c r="F11" i="6"/>
  <c r="F13" i="6" s="1"/>
  <c r="D45" i="6"/>
  <c r="F29" i="6"/>
  <c r="H12" i="6"/>
  <c r="E11" i="6"/>
  <c r="P44" i="6"/>
  <c r="E29" i="6"/>
  <c r="G12" i="6"/>
  <c r="D11" i="6"/>
  <c r="D13" i="6" s="1"/>
  <c r="O44" i="6"/>
  <c r="O46" i="6" s="1"/>
  <c r="D29" i="6"/>
  <c r="F12" i="6"/>
  <c r="N11" i="6"/>
  <c r="J11" i="6"/>
  <c r="M45" i="6"/>
  <c r="I45" i="6"/>
  <c r="L28" i="6"/>
  <c r="L30" i="6" s="1"/>
  <c r="H28" i="6"/>
  <c r="H30" i="6" s="1"/>
  <c r="M12" i="6"/>
  <c r="O29" i="6"/>
  <c r="K29" i="6"/>
  <c r="J44" i="6"/>
  <c r="J46" i="6" s="1"/>
  <c r="F44" i="6"/>
  <c r="P172" i="4"/>
  <c r="P205" i="4"/>
  <c r="P216" i="4"/>
  <c r="P236" i="4"/>
  <c r="P269" i="4"/>
  <c r="P280" i="4"/>
  <c r="P300" i="4"/>
  <c r="P311" i="4"/>
  <c r="P385" i="4"/>
  <c r="P400" i="4"/>
  <c r="P402" i="4"/>
  <c r="P423" i="4"/>
  <c r="P480" i="4"/>
  <c r="P499" i="4"/>
  <c r="P501" i="4"/>
  <c r="P487" i="4"/>
  <c r="P496" i="4"/>
  <c r="P498" i="4"/>
  <c r="P514" i="4"/>
  <c r="P525" i="4"/>
  <c r="P544" i="4"/>
  <c r="P553" i="4"/>
  <c r="P568" i="4"/>
  <c r="P585" i="4"/>
  <c r="P648" i="4"/>
  <c r="P673" i="4"/>
  <c r="P715" i="4"/>
  <c r="P712" i="4"/>
  <c r="P779" i="4"/>
  <c r="P749" i="4"/>
  <c r="P381" i="4"/>
  <c r="P388" i="4"/>
  <c r="P500" i="4"/>
  <c r="P507" i="4"/>
  <c r="P527" i="4"/>
  <c r="P529" i="4"/>
  <c r="P531" i="4"/>
  <c r="P533" i="4"/>
  <c r="P555" i="4"/>
  <c r="P572" i="4"/>
  <c r="P620" i="4"/>
  <c r="P633" i="4"/>
  <c r="P675" i="4"/>
  <c r="P376" i="4"/>
  <c r="P390" i="4"/>
  <c r="P406" i="4"/>
  <c r="P422" i="4"/>
  <c r="P438" i="4"/>
  <c r="P454" i="4"/>
  <c r="P520" i="4"/>
  <c r="P524" i="4"/>
  <c r="P559" i="4"/>
  <c r="P561" i="4"/>
  <c r="P563" i="4"/>
  <c r="P567" i="4"/>
  <c r="P605" i="4"/>
  <c r="P639" i="4"/>
  <c r="P662" i="4"/>
  <c r="P679" i="4"/>
  <c r="P681" i="4"/>
  <c r="P704" i="4"/>
  <c r="P725" i="4"/>
  <c r="P404" i="4"/>
  <c r="P420" i="4"/>
  <c r="P436" i="4"/>
  <c r="P452" i="4"/>
  <c r="P468" i="4"/>
  <c r="P484" i="4"/>
  <c r="P539" i="4"/>
  <c r="P550" i="4"/>
  <c r="P578" i="4"/>
  <c r="P582" i="4"/>
  <c r="P607" i="4"/>
  <c r="P608" i="4"/>
  <c r="P609" i="4"/>
  <c r="P685" i="4"/>
  <c r="P352" i="4"/>
  <c r="P522" i="4"/>
  <c r="P541" i="4"/>
  <c r="P611" i="4"/>
  <c r="P643" i="4"/>
  <c r="P645" i="4"/>
  <c r="P670" i="4"/>
  <c r="P689" i="4"/>
  <c r="P552" i="4"/>
  <c r="P584" i="4"/>
  <c r="P613" i="4"/>
  <c r="P672" i="4"/>
  <c r="P774" i="4"/>
  <c r="P392" i="4"/>
  <c r="P399" i="4"/>
  <c r="P408" i="4"/>
  <c r="P424" i="4"/>
  <c r="P440" i="4"/>
  <c r="P451" i="4"/>
  <c r="P456" i="4"/>
  <c r="P467" i="4"/>
  <c r="P472" i="4"/>
  <c r="P488" i="4"/>
  <c r="P495" i="4"/>
  <c r="P497" i="4"/>
  <c r="P515" i="4"/>
  <c r="P526" i="4"/>
  <c r="P569" i="4"/>
  <c r="P693" i="4"/>
  <c r="P506" i="4"/>
  <c r="P528" i="4"/>
  <c r="P530" i="4"/>
  <c r="P532" i="4"/>
  <c r="P534" i="4"/>
  <c r="P554" i="4"/>
  <c r="P571" i="4"/>
  <c r="P615" i="4"/>
  <c r="P616" i="4"/>
  <c r="P617" i="4"/>
  <c r="P619" i="4"/>
  <c r="P621" i="4"/>
  <c r="P632" i="4"/>
  <c r="P649" i="4"/>
  <c r="P732" i="4"/>
  <c r="P733" i="4"/>
  <c r="P368" i="4"/>
  <c r="P394" i="4"/>
  <c r="P410" i="4"/>
  <c r="P426" i="4"/>
  <c r="P442" i="4"/>
  <c r="P458" i="4"/>
  <c r="P474" i="4"/>
  <c r="P490" i="4"/>
  <c r="P549" i="4"/>
  <c r="P573" i="4"/>
  <c r="P651" i="4"/>
  <c r="P653" i="4"/>
  <c r="P695" i="4"/>
  <c r="P697" i="4"/>
  <c r="P699" i="4"/>
  <c r="P696" i="4"/>
  <c r="P701" i="4"/>
  <c r="P510" i="4"/>
  <c r="P547" i="4"/>
  <c r="P551" i="4"/>
  <c r="P558" i="4"/>
  <c r="P575" i="4"/>
  <c r="P592" i="4"/>
  <c r="P594" i="4"/>
  <c r="P598" i="4"/>
  <c r="P655" i="4"/>
  <c r="P657" i="4"/>
  <c r="P659" i="4"/>
  <c r="P720" i="4"/>
  <c r="P344" i="4"/>
  <c r="P494" i="4"/>
  <c r="P505" i="4"/>
  <c r="P560" i="4"/>
  <c r="P562" i="4"/>
  <c r="P606" i="4"/>
  <c r="P638" i="4"/>
  <c r="P661" i="4"/>
  <c r="P663" i="4"/>
  <c r="P665" i="4"/>
  <c r="P664" i="4"/>
  <c r="P705" i="4"/>
  <c r="P322" i="4"/>
  <c r="P327" i="4"/>
  <c r="P370" i="4"/>
  <c r="P396" i="4"/>
  <c r="P412" i="4"/>
  <c r="P428" i="4"/>
  <c r="P444" i="4"/>
  <c r="P460" i="4"/>
  <c r="P476" i="4"/>
  <c r="P492" i="4"/>
  <c r="P512" i="4"/>
  <c r="P521" i="4"/>
  <c r="P538" i="4"/>
  <c r="P536" i="4"/>
  <c r="P579" i="4"/>
  <c r="P581" i="4"/>
  <c r="P625" i="4"/>
  <c r="P623" i="4"/>
  <c r="P627" i="4"/>
  <c r="P680" i="4"/>
  <c r="P686" i="4"/>
  <c r="P384" i="4"/>
  <c r="P523" i="4"/>
  <c r="P542" i="4"/>
  <c r="P566" i="4"/>
  <c r="P646" i="4"/>
  <c r="P669" i="4"/>
  <c r="P688" i="4"/>
  <c r="P709" i="4"/>
  <c r="P820" i="4"/>
  <c r="P817" i="4"/>
  <c r="P346" i="4"/>
  <c r="P671" i="4"/>
  <c r="P719" i="4"/>
  <c r="P788" i="4"/>
  <c r="P785" i="4"/>
  <c r="P789" i="4"/>
  <c r="P790" i="4"/>
  <c r="P809" i="4"/>
  <c r="P811" i="4"/>
  <c r="P702" i="4"/>
  <c r="P718" i="4"/>
  <c r="P752" i="4"/>
  <c r="P781" i="4"/>
  <c r="P782" i="4"/>
  <c r="P813" i="4"/>
  <c r="P856" i="4"/>
  <c r="P857" i="4"/>
  <c r="P862" i="4"/>
  <c r="P570" i="4"/>
  <c r="P596" i="4"/>
  <c r="P634" i="4"/>
  <c r="P660" i="4"/>
  <c r="P767" i="4"/>
  <c r="P793" i="4"/>
  <c r="P792" i="4"/>
  <c r="P794" i="4"/>
  <c r="P795" i="4"/>
  <c r="P825" i="4"/>
  <c r="P824" i="4"/>
  <c r="P827" i="4"/>
  <c r="P826" i="4"/>
  <c r="P864" i="4"/>
  <c r="P866" i="4"/>
  <c r="P865" i="4"/>
  <c r="P868" i="4"/>
  <c r="P870" i="4"/>
  <c r="P927" i="4"/>
  <c r="P929" i="4"/>
  <c r="P928" i="4"/>
  <c r="P931" i="4"/>
  <c r="P933" i="4"/>
  <c r="P729" i="4"/>
  <c r="P738" i="4"/>
  <c r="P745" i="4"/>
  <c r="P769" i="4"/>
  <c r="P784" i="4"/>
  <c r="P816" i="4"/>
  <c r="P610" i="4"/>
  <c r="P636" i="4"/>
  <c r="P674" i="4"/>
  <c r="P722" i="4"/>
  <c r="P731" i="4"/>
  <c r="P771" i="4"/>
  <c r="P773" i="4"/>
  <c r="P799" i="4"/>
  <c r="P690" i="4"/>
  <c r="P706" i="4"/>
  <c r="P724" i="4"/>
  <c r="P756" i="4"/>
  <c r="P757" i="4"/>
  <c r="P758" i="4"/>
  <c r="P801" i="4"/>
  <c r="P833" i="4"/>
  <c r="P839" i="4"/>
  <c r="P880" i="4"/>
  <c r="P904" i="4"/>
  <c r="P586" i="4"/>
  <c r="P612" i="4"/>
  <c r="P650" i="4"/>
  <c r="P676" i="4"/>
  <c r="P683" i="4"/>
  <c r="P692" i="4"/>
  <c r="P708" i="4"/>
  <c r="P735" i="4"/>
  <c r="P777" i="4"/>
  <c r="P803" i="4"/>
  <c r="P805" i="4"/>
  <c r="P888" i="4"/>
  <c r="P889" i="4"/>
  <c r="P894" i="4"/>
  <c r="P896" i="4"/>
  <c r="P898" i="4"/>
  <c r="P897" i="4"/>
  <c r="P900" i="4"/>
  <c r="P902" i="4"/>
  <c r="P588" i="4"/>
  <c r="P626" i="4"/>
  <c r="P652" i="4"/>
  <c r="P726" i="4"/>
  <c r="P728" i="4"/>
  <c r="P742" i="4"/>
  <c r="P744" i="4"/>
  <c r="P751" i="4"/>
  <c r="P841" i="4"/>
  <c r="P849" i="4"/>
  <c r="P851" i="4"/>
  <c r="P853" i="4"/>
  <c r="P614" i="4"/>
  <c r="P678" i="4"/>
  <c r="P694" i="4"/>
  <c r="P710" i="4"/>
  <c r="P855" i="4"/>
  <c r="P564" i="4"/>
  <c r="P602" i="4"/>
  <c r="P628" i="4"/>
  <c r="P666" i="4"/>
  <c r="P766" i="4"/>
  <c r="P768" i="4"/>
  <c r="P783" i="4"/>
  <c r="P815" i="4"/>
  <c r="P871" i="4"/>
  <c r="P920" i="4"/>
  <c r="P926" i="4"/>
  <c r="P590" i="4"/>
  <c r="P654" i="4"/>
  <c r="P730" i="4"/>
  <c r="P737" i="4"/>
  <c r="P741" i="4"/>
  <c r="P746" i="4"/>
  <c r="P840" i="4"/>
  <c r="P936" i="4"/>
  <c r="P942" i="4"/>
  <c r="P950" i="4"/>
  <c r="P944" i="4"/>
  <c r="P952" i="4"/>
  <c r="P604" i="4"/>
  <c r="P642" i="4"/>
  <c r="P668" i="4"/>
  <c r="P721" i="4"/>
  <c r="P739" i="4"/>
  <c r="P754" i="4"/>
  <c r="P755" i="4"/>
  <c r="P772" i="4"/>
  <c r="P798" i="4"/>
  <c r="P800" i="4"/>
  <c r="P830" i="4"/>
  <c r="P982" i="4"/>
  <c r="P984" i="4"/>
  <c r="P986" i="4"/>
  <c r="P988" i="4"/>
  <c r="P630" i="4"/>
  <c r="P682" i="4"/>
  <c r="P698" i="4"/>
  <c r="P714" i="4"/>
  <c r="P723" i="4"/>
  <c r="P873" i="4"/>
  <c r="P881" i="4"/>
  <c r="P580" i="4"/>
  <c r="P618" i="4"/>
  <c r="P644" i="4"/>
  <c r="P684" i="4"/>
  <c r="P691" i="4"/>
  <c r="P700" i="4"/>
  <c r="P707" i="4"/>
  <c r="P716" i="4"/>
  <c r="P727" i="4"/>
  <c r="P743" i="4"/>
  <c r="P776" i="4"/>
  <c r="P778" i="4"/>
  <c r="P786" i="4"/>
  <c r="P804" i="4"/>
  <c r="P806" i="4"/>
  <c r="P818" i="4"/>
  <c r="P740" i="4"/>
  <c r="P750" i="4"/>
  <c r="P808" i="4"/>
  <c r="P810" i="4"/>
  <c r="P821" i="4"/>
  <c r="P734" i="4"/>
  <c r="P761" i="4"/>
  <c r="P760" i="4"/>
  <c r="P762" i="4"/>
  <c r="P763" i="4"/>
  <c r="P848" i="4"/>
  <c r="P872" i="4"/>
  <c r="P919" i="4"/>
  <c r="P847" i="4"/>
  <c r="P879" i="4"/>
  <c r="P921" i="4"/>
  <c r="P923" i="4"/>
  <c r="P925" i="4"/>
  <c r="P954" i="4"/>
  <c r="P956" i="4"/>
  <c r="P958" i="4"/>
  <c r="P960" i="4"/>
  <c r="P962" i="4"/>
  <c r="P964" i="4"/>
  <c r="P966" i="4"/>
  <c r="P968" i="4"/>
  <c r="P970" i="4"/>
  <c r="P972" i="4"/>
  <c r="P974" i="4"/>
  <c r="P976" i="4"/>
  <c r="P978" i="4"/>
  <c r="P980" i="4"/>
  <c r="P765" i="4"/>
  <c r="P770" i="4"/>
  <c r="P797" i="4"/>
  <c r="P802" i="4"/>
  <c r="P829" i="4"/>
  <c r="P912" i="4"/>
  <c r="P935" i="4"/>
  <c r="P787" i="4"/>
  <c r="P814" i="4"/>
  <c r="P819" i="4"/>
  <c r="P906" i="4"/>
  <c r="P908" i="4"/>
  <c r="P937" i="4"/>
  <c r="P939" i="4"/>
  <c r="P941" i="4"/>
  <c r="D15" i="6"/>
  <c r="G17" i="6"/>
  <c r="G19" i="6" s="1"/>
  <c r="H19" i="6" s="1"/>
  <c r="I19" i="6" s="1"/>
  <c r="D32" i="6"/>
  <c r="D34" i="6" s="1"/>
  <c r="D36" i="6" s="1"/>
  <c r="E34" i="6"/>
  <c r="E36" i="6" s="1"/>
  <c r="F36" i="6" s="1"/>
  <c r="G36" i="6" s="1"/>
  <c r="P748" i="4"/>
  <c r="P775" i="4"/>
  <c r="P780" i="4"/>
  <c r="P807" i="4"/>
  <c r="P812" i="4"/>
  <c r="P910" i="4"/>
  <c r="P943" i="4"/>
  <c r="P1001" i="4"/>
  <c r="P1002" i="4"/>
  <c r="P1000" i="4"/>
  <c r="P842" i="4"/>
  <c r="P844" i="4"/>
  <c r="P859" i="4"/>
  <c r="P861" i="4"/>
  <c r="P874" i="4"/>
  <c r="P876" i="4"/>
  <c r="P891" i="4"/>
  <c r="P893" i="4"/>
  <c r="P914" i="4"/>
  <c r="P916" i="4"/>
  <c r="P945" i="4"/>
  <c r="P947" i="4"/>
  <c r="P949" i="4"/>
  <c r="P1004" i="4"/>
  <c r="P846" i="4"/>
  <c r="P878" i="4"/>
  <c r="P918" i="4"/>
  <c r="P951" i="4"/>
  <c r="J17" i="6"/>
  <c r="H34" i="6"/>
  <c r="P863" i="4"/>
  <c r="P895" i="4"/>
  <c r="P922" i="4"/>
  <c r="P924" i="4"/>
  <c r="P953" i="4"/>
  <c r="P955" i="4"/>
  <c r="P957" i="4"/>
  <c r="P959" i="4"/>
  <c r="P961" i="4"/>
  <c r="P963" i="4"/>
  <c r="P965" i="4"/>
  <c r="P967" i="4"/>
  <c r="P969" i="4"/>
  <c r="P971" i="4"/>
  <c r="P973" i="4"/>
  <c r="P975" i="4"/>
  <c r="P977" i="4"/>
  <c r="P979" i="4"/>
  <c r="P981" i="4"/>
  <c r="F52" i="6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P983" i="4"/>
  <c r="P985" i="4"/>
  <c r="P987" i="4"/>
  <c r="P989" i="4"/>
  <c r="P835" i="4"/>
  <c r="P837" i="4"/>
  <c r="P850" i="4"/>
  <c r="P852" i="4"/>
  <c r="P867" i="4"/>
  <c r="P869" i="4"/>
  <c r="P882" i="4"/>
  <c r="P884" i="4"/>
  <c r="P899" i="4"/>
  <c r="P901" i="4"/>
  <c r="P930" i="4"/>
  <c r="P932" i="4"/>
  <c r="P991" i="4"/>
  <c r="P993" i="4"/>
  <c r="P995" i="4"/>
  <c r="P828" i="4"/>
  <c r="P854" i="4"/>
  <c r="P886" i="4"/>
  <c r="P903" i="4"/>
  <c r="P934" i="4"/>
  <c r="P905" i="4"/>
  <c r="P907" i="4"/>
  <c r="P909" i="4"/>
  <c r="P938" i="4"/>
  <c r="P940" i="4"/>
  <c r="P759" i="4"/>
  <c r="P764" i="4"/>
  <c r="P791" i="4"/>
  <c r="P796" i="4"/>
  <c r="P823" i="4"/>
  <c r="P911" i="4"/>
  <c r="P843" i="4"/>
  <c r="P845" i="4"/>
  <c r="P858" i="4"/>
  <c r="P860" i="4"/>
  <c r="P875" i="4"/>
  <c r="P877" i="4"/>
  <c r="P890" i="4"/>
  <c r="P892" i="4"/>
  <c r="P913" i="4"/>
  <c r="P915" i="4"/>
  <c r="P917" i="4"/>
  <c r="P946" i="4"/>
  <c r="P948" i="4"/>
  <c r="D16" i="6"/>
  <c r="D48" i="6"/>
  <c r="D50" i="6" s="1"/>
  <c r="D52" i="6" s="1"/>
  <c r="J13" i="6" l="1"/>
  <c r="M46" i="6"/>
  <c r="N13" i="6"/>
  <c r="E46" i="6"/>
  <c r="G13" i="6"/>
  <c r="I30" i="6"/>
  <c r="O13" i="6"/>
  <c r="F46" i="6"/>
  <c r="H13" i="6"/>
  <c r="G46" i="6"/>
  <c r="P46" i="6"/>
  <c r="K46" i="6"/>
  <c r="E13" i="6"/>
  <c r="F30" i="6"/>
  <c r="L13" i="6"/>
  <c r="P13" i="6"/>
  <c r="H36" i="6"/>
  <c r="I36" i="6" s="1"/>
  <c r="J36" i="6" s="1"/>
  <c r="K36" i="6" s="1"/>
  <c r="L36" i="6" s="1"/>
  <c r="M36" i="6" s="1"/>
  <c r="N36" i="6" s="1"/>
  <c r="O36" i="6" s="1"/>
  <c r="P36" i="6" s="1"/>
  <c r="D46" i="6"/>
  <c r="J30" i="6"/>
  <c r="N30" i="6"/>
  <c r="J19" i="6"/>
  <c r="K19" i="6" s="1"/>
  <c r="L19" i="6" s="1"/>
  <c r="M19" i="6" s="1"/>
  <c r="N19" i="6" s="1"/>
  <c r="O19" i="6" s="1"/>
  <c r="P19" i="6" s="1"/>
  <c r="L46" i="6"/>
  <c r="D17" i="6"/>
  <c r="D19" i="6" s="1"/>
  <c r="D30" i="6"/>
  <c r="G30" i="6"/>
  <c r="M13" i="6"/>
  <c r="O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3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Current balance formula have easy logic
just looking last number from L column(balance after)
if L column is blank. Writing starting balance.
</t>
        </r>
      </text>
    </comment>
  </commentList>
</comments>
</file>

<file path=xl/sharedStrings.xml><?xml version="1.0" encoding="utf-8"?>
<sst xmlns="http://schemas.openxmlformats.org/spreadsheetml/2006/main" count="3243" uniqueCount="146">
  <si>
    <t>Account</t>
  </si>
  <si>
    <t>Date</t>
  </si>
  <si>
    <t>Instrument</t>
  </si>
  <si>
    <t>Entry Time</t>
  </si>
  <si>
    <t>Entry Price</t>
  </si>
  <si>
    <t>Market Position</t>
  </si>
  <si>
    <t>Qty</t>
  </si>
  <si>
    <t>Comission</t>
  </si>
  <si>
    <t>Stop Loss</t>
  </si>
  <si>
    <t>TP 1</t>
  </si>
  <si>
    <t>TP 1 Qty</t>
  </si>
  <si>
    <t>TP 1 Exit Time</t>
  </si>
  <si>
    <t>TP 2</t>
  </si>
  <si>
    <t>TP 2 Qty</t>
  </si>
  <si>
    <t>TP 2 Exit Time</t>
  </si>
  <si>
    <t>TP 3</t>
  </si>
  <si>
    <t>TP 3 Qty</t>
  </si>
  <si>
    <t>TP 3 Exit Time</t>
  </si>
  <si>
    <t>SL Execution</t>
  </si>
  <si>
    <t>SL Exit Time</t>
  </si>
  <si>
    <t>RoE Pts</t>
  </si>
  <si>
    <t>RoE $</t>
  </si>
  <si>
    <t>Notes</t>
  </si>
  <si>
    <t>Link</t>
  </si>
  <si>
    <t>NQ SEP24</t>
  </si>
  <si>
    <t>August Analysis</t>
  </si>
  <si>
    <t>Qty Longs</t>
  </si>
  <si>
    <t>Qty Shorts</t>
  </si>
  <si>
    <t>Winning Longs</t>
  </si>
  <si>
    <t>Long Winrate</t>
  </si>
  <si>
    <t>Winning Shorts</t>
  </si>
  <si>
    <t>Short Winrate</t>
  </si>
  <si>
    <t>Long Winnings</t>
  </si>
  <si>
    <t>Short Winnings</t>
  </si>
  <si>
    <t>Long SL Losses</t>
  </si>
  <si>
    <t>Short SL Losses</t>
  </si>
  <si>
    <t>Total PnL</t>
  </si>
  <si>
    <t>Average Trade PnL</t>
  </si>
  <si>
    <t>Largest Winner</t>
  </si>
  <si>
    <t>Larget Loser</t>
  </si>
  <si>
    <t>Row Labels</t>
  </si>
  <si>
    <t>Average of Winrate</t>
  </si>
  <si>
    <t>Sum of PnL %</t>
  </si>
  <si>
    <t>Average of Risk</t>
  </si>
  <si>
    <t>Count of Entry</t>
  </si>
  <si>
    <t>Values</t>
  </si>
  <si>
    <t>Count of #</t>
  </si>
  <si>
    <t>Average of RR Exit</t>
  </si>
  <si>
    <t>Average of RR 1PT</t>
  </si>
  <si>
    <t>Average of PnL %</t>
  </si>
  <si>
    <t>Sum of Starting Balanace</t>
  </si>
  <si>
    <t>Max of PnL %</t>
  </si>
  <si>
    <t>Min of PnL %</t>
  </si>
  <si>
    <t>Count of Hit</t>
  </si>
  <si>
    <t>&lt;8/12/2024</t>
  </si>
  <si>
    <t>LONG</t>
  </si>
  <si>
    <t>BTCUSDT</t>
  </si>
  <si>
    <t>Win</t>
  </si>
  <si>
    <t>Grand Total</t>
  </si>
  <si>
    <t>PT1 Hit</t>
  </si>
  <si>
    <t>(blank)</t>
  </si>
  <si>
    <t xml:space="preserve">  Trading Journal</t>
  </si>
  <si>
    <t xml:space="preserve">   Trades</t>
  </si>
  <si>
    <t>Starting Balance %</t>
  </si>
  <si>
    <t>Current Balance %</t>
  </si>
  <si>
    <t>Trade plan</t>
  </si>
  <si>
    <t>Fill if triggered</t>
  </si>
  <si>
    <t>Insert from calc.</t>
  </si>
  <si>
    <t>Results</t>
  </si>
  <si>
    <t>Charts</t>
  </si>
  <si>
    <t>#</t>
  </si>
  <si>
    <t>Sort</t>
  </si>
  <si>
    <t>Symbol</t>
  </si>
  <si>
    <t>Risk</t>
  </si>
  <si>
    <t>TF</t>
  </si>
  <si>
    <t>Entry</t>
  </si>
  <si>
    <t>SL</t>
  </si>
  <si>
    <t>PT 1</t>
  </si>
  <si>
    <t>L/S</t>
  </si>
  <si>
    <t>RR 1PT</t>
  </si>
  <si>
    <t>PT 2</t>
  </si>
  <si>
    <t>PT 3</t>
  </si>
  <si>
    <t>Starting Balanace</t>
  </si>
  <si>
    <t>SL Trigged</t>
  </si>
  <si>
    <t>Avg. Exit</t>
  </si>
  <si>
    <t>Winrate</t>
  </si>
  <si>
    <t>Status</t>
  </si>
  <si>
    <t>RR Exit</t>
  </si>
  <si>
    <t>PnL %</t>
  </si>
  <si>
    <t>Hit</t>
  </si>
  <si>
    <t>W/L</t>
  </si>
  <si>
    <t xml:space="preserve"> Before</t>
  </si>
  <si>
    <t>After</t>
  </si>
  <si>
    <t>Trade notes</t>
  </si>
  <si>
    <t>Stocks</t>
  </si>
  <si>
    <t>1min</t>
  </si>
  <si>
    <t>Crypto</t>
  </si>
  <si>
    <t>Average Exit Price Calculator</t>
  </si>
  <si>
    <t>Average Entry Calculator #1</t>
  </si>
  <si>
    <t>Position Size Calculator</t>
  </si>
  <si>
    <t>PT1</t>
  </si>
  <si>
    <t>PT2</t>
  </si>
  <si>
    <t>PT3</t>
  </si>
  <si>
    <t>Static Size</t>
  </si>
  <si>
    <t>Price of the asset</t>
  </si>
  <si>
    <t>Shares</t>
  </si>
  <si>
    <t>Cost</t>
  </si>
  <si>
    <t>Account Balance</t>
  </si>
  <si>
    <t xml:space="preserve">Insert Trade </t>
  </si>
  <si>
    <t>Sizing</t>
  </si>
  <si>
    <t>Price</t>
  </si>
  <si>
    <t>SL Trigger Price</t>
  </si>
  <si>
    <t>Avg Exit Price</t>
  </si>
  <si>
    <t>Risk %</t>
  </si>
  <si>
    <t>Here you can modify Static Size for PT1,PT2,PT3. Enter "Trades" number to calculate Avg Exit Price , then copy and paste it in "Trades Sheet". Use CTR+C to copy , CTRL+ALT+V to paste and choose "Value"</t>
  </si>
  <si>
    <t>Total</t>
  </si>
  <si>
    <t>-</t>
  </si>
  <si>
    <t>Avg. Entry Price</t>
  </si>
  <si>
    <t>Max. allowed Risk per trade</t>
  </si>
  <si>
    <t>Position Size</t>
  </si>
  <si>
    <t>HINT: After adding any information you have to go to "Data" and click to "Refresh All" or Save it and open again. Then Dashboard will automatically grab information you have filled.</t>
  </si>
  <si>
    <t>Average Entry Calculator #2</t>
  </si>
  <si>
    <t>Statistics</t>
  </si>
  <si>
    <t>Overall</t>
  </si>
  <si>
    <t>Monthly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</si>
  <si>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</si>
  <si>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</si>
  <si>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</si>
  <si>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</si>
  <si>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</si>
  <si>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</si>
  <si>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</si>
  <si>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</si>
  <si>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</si>
  <si>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</si>
  <si>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</si>
  <si>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</si>
  <si>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trades</t>
  </si>
  <si>
    <t>Total longs</t>
  </si>
  <si>
    <t>Total shorts</t>
  </si>
  <si>
    <t>Total Wins</t>
  </si>
  <si>
    <t>Total losses</t>
  </si>
  <si>
    <t>Total Profit %</t>
  </si>
  <si>
    <t>Total loss %</t>
  </si>
  <si>
    <t>Total PnL %</t>
  </si>
  <si>
    <t>Total Balance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</si>
</sst>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0.0%"/>
    <numFmt numFmtId="165" formatCode="_-[$$-409]* #,##0.00_ ;_-[$$-409]* \-#,##0.00\ ;_-[$$-409]* &quot;-&quot;??_ ;_-@_ "/>
    <numFmt numFmtId="166" formatCode="_-[$$-409]* #,##0.0_ ;_-[$$-409]* \-#,##0.0\ ;_-[$$-409]* &quot;-&quot;??_ ;_-@_ "/>
    <numFmt numFmtId="167" formatCode="#,##0.00_ ;\-#,##0.00\ "/>
    <numFmt numFmtId="168" formatCode="0.0"/>
    <numFmt numFmtId="169" formatCode="0.00000"/>
    <numFmt numFmtId="170" formatCode="0.0000"/>
    <numFmt numFmtId="171" formatCode="[$]dd/mm/yyyy;@"/>
    <numFmt numFmtId="172" formatCode="[=0]0;0.##########"/>
    <numFmt numFmtId="173" formatCode="&quot;$&quot;#,##0.00;[Red]&quot;$&quot;#,##0.00"/>
    <numFmt numFmtId="174" formatCode="&quot;$&quot;#,##0;[Red]&quot;$&quot;#,##0"/>
    <numFmt numFmtId="175" formatCode="0.00;[Red]0.00"/>
    <numFmt numFmtId="176" formatCode="_-* #,##0.00\ &quot;€&quot;_-;\-* #,##0.00\ &quot;€&quot;_-;_-* &quot;-&quot;??\ &quot;€&quot;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11"/>
      <color rgb="FF333F4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5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rgb="FFFF892D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FF892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8"/>
      <color rgb="FFFF892D"/>
      <name val="Calibri"/>
      <family val="2"/>
      <scheme val="minor"/>
    </font>
    <font>
      <b/>
      <sz val="11"/>
      <color rgb="FFFF892D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rgb="FFFF892D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sz val="11"/>
      <color theme="1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333F4F"/>
        <bgColor rgb="FF000000"/>
      </patternFill>
    </fill>
    <fill>
      <patternFill patternType="solid">
        <fgColor rgb="FF5A6F8C"/>
        <bgColor indexed="64"/>
      </patternFill>
    </fill>
  </fills>
  <borders count="5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76" fontId="1" fillId="0" borderId="0"/>
    <xf numFmtId="0" fontId="2" fillId="2" borderId="1"/>
    <xf numFmtId="0" fontId="4" fillId="0" borderId="0"/>
    <xf numFmtId="9" fontId="1" fillId="0" borderId="0"/>
  </cellStyleXfs>
  <cellXfs count="236">
    <xf numFmtId="0" fontId="0" fillId="0" borderId="0" xfId="0"/>
    <xf numFmtId="0" fontId="2" fillId="5" borderId="0" xfId="2" applyFill="1" applyBorder="1"/>
    <xf numFmtId="0" fontId="3" fillId="5" borderId="0" xfId="2" applyFont="1" applyFill="1" applyBorder="1"/>
    <xf numFmtId="0" fontId="3" fillId="6" borderId="0" xfId="2" applyFont="1" applyFill="1" applyBorder="1"/>
    <xf numFmtId="0" fontId="2" fillId="6" borderId="0" xfId="2" applyFill="1" applyBorder="1"/>
    <xf numFmtId="0" fontId="3" fillId="6" borderId="0" xfId="2" applyFont="1" applyFill="1" applyBorder="1" applyAlignment="1">
      <alignment horizontal="left" indent="8"/>
    </xf>
    <xf numFmtId="0" fontId="2" fillId="6" borderId="0" xfId="2" applyFill="1" applyBorder="1" applyAlignment="1" applyProtection="1">
      <alignment vertical="center"/>
      <protection locked="0"/>
    </xf>
    <xf numFmtId="0" fontId="2" fillId="4" borderId="0" xfId="2" applyFill="1" applyBorder="1" applyAlignment="1" applyProtection="1">
      <alignment horizontal="left" vertical="center" indent="2"/>
      <protection locked="0"/>
    </xf>
    <xf numFmtId="0" fontId="2" fillId="5" borderId="0" xfId="2" applyFill="1" applyBorder="1" applyAlignment="1" applyProtection="1">
      <alignment horizontal="left" vertical="center" indent="2"/>
      <protection locked="0"/>
    </xf>
    <xf numFmtId="0" fontId="2" fillId="3" borderId="0" xfId="2" applyFill="1" applyBorder="1" applyAlignment="1" applyProtection="1">
      <alignment vertical="center"/>
      <protection locked="0"/>
    </xf>
    <xf numFmtId="0" fontId="6" fillId="4" borderId="0" xfId="2" applyFont="1" applyFill="1" applyBorder="1" applyAlignment="1" applyProtection="1">
      <alignment horizontal="left" vertical="center" indent="2"/>
      <protection locked="0"/>
    </xf>
    <xf numFmtId="0" fontId="2" fillId="6" borderId="0" xfId="2" applyFill="1" applyBorder="1" applyAlignment="1" applyProtection="1">
      <alignment horizontal="left" vertical="center" indent="12"/>
      <protection locked="0"/>
    </xf>
    <xf numFmtId="0" fontId="2" fillId="6" borderId="0" xfId="2" applyFill="1" applyBorder="1" applyAlignment="1" applyProtection="1">
      <alignment horizontal="center" vertical="center"/>
      <protection locked="0"/>
    </xf>
    <xf numFmtId="0" fontId="6" fillId="4" borderId="0" xfId="2" applyFont="1" applyFill="1" applyBorder="1" applyAlignment="1" applyProtection="1">
      <alignment vertical="center"/>
      <protection locked="0"/>
    </xf>
    <xf numFmtId="0" fontId="6" fillId="4" borderId="0" xfId="2" applyFont="1" applyFill="1" applyBorder="1" applyAlignment="1" applyProtection="1">
      <alignment horizontal="left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0" applyNumberFormat="1"/>
    <xf numFmtId="0" fontId="8" fillId="5" borderId="0" xfId="0" applyFont="1" applyFill="1"/>
    <xf numFmtId="0" fontId="0" fillId="5" borderId="0" xfId="0" applyFill="1"/>
    <xf numFmtId="9" fontId="5" fillId="6" borderId="5" xfId="4" applyFont="1" applyFill="1" applyBorder="1" applyAlignment="1" applyProtection="1">
      <alignment horizontal="center" vertical="center"/>
      <protection locked="0"/>
    </xf>
    <xf numFmtId="0" fontId="10" fillId="4" borderId="0" xfId="2" applyFont="1" applyFill="1" applyBorder="1" applyAlignment="1" applyProtection="1">
      <alignment horizontal="left" vertical="center"/>
      <protection locked="0"/>
    </xf>
    <xf numFmtId="0" fontId="0" fillId="6" borderId="0" xfId="0" applyFill="1"/>
    <xf numFmtId="0" fontId="0" fillId="5" borderId="2" xfId="0" applyFill="1" applyBorder="1"/>
    <xf numFmtId="0" fontId="7" fillId="5" borderId="0" xfId="2" applyFont="1" applyFill="1" applyBorder="1" applyAlignment="1" applyProtection="1">
      <alignment vertical="center"/>
      <protection locked="0"/>
    </xf>
    <xf numFmtId="0" fontId="7" fillId="5" borderId="0" xfId="2" applyFont="1" applyFill="1" applyBorder="1" applyAlignment="1" applyProtection="1">
      <alignment horizontal="center" vertical="center"/>
      <protection locked="0"/>
    </xf>
    <xf numFmtId="0" fontId="2" fillId="5" borderId="0" xfId="2" applyFill="1" applyBorder="1" applyAlignment="1">
      <alignment horizontal="center" vertical="center"/>
    </xf>
    <xf numFmtId="9" fontId="2" fillId="5" borderId="0" xfId="2" applyNumberForma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/>
      <protection locked="0"/>
    </xf>
    <xf numFmtId="164" fontId="5" fillId="6" borderId="0" xfId="2" applyNumberFormat="1" applyFont="1" applyFill="1" applyBorder="1" applyAlignment="1">
      <alignment horizontal="center" vertical="center"/>
    </xf>
    <xf numFmtId="0" fontId="3" fillId="6" borderId="0" xfId="2" applyFont="1" applyFill="1" applyBorder="1" applyAlignment="1" applyProtection="1">
      <alignment horizontal="center" vertical="center"/>
      <protection locked="0"/>
    </xf>
    <xf numFmtId="9" fontId="0" fillId="0" borderId="0" xfId="4" applyFont="1"/>
    <xf numFmtId="165" fontId="11" fillId="6" borderId="0" xfId="0" applyNumberFormat="1" applyFont="1" applyFill="1"/>
    <xf numFmtId="166" fontId="11" fillId="6" borderId="0" xfId="0" applyNumberFormat="1" applyFont="1" applyFill="1"/>
    <xf numFmtId="10" fontId="0" fillId="0" borderId="0" xfId="0" applyNumberFormat="1"/>
    <xf numFmtId="0" fontId="8" fillId="5" borderId="2" xfId="0" applyFont="1" applyFill="1" applyBorder="1" applyAlignment="1">
      <alignment horizontal="center" vertical="center"/>
    </xf>
    <xf numFmtId="10" fontId="8" fillId="5" borderId="2" xfId="4" quotePrefix="1" applyNumberFormat="1" applyFont="1" applyFill="1" applyBorder="1" applyAlignment="1">
      <alignment horizontal="center" vertical="center"/>
    </xf>
    <xf numFmtId="9" fontId="5" fillId="6" borderId="0" xfId="4" applyFont="1" applyFill="1" applyAlignment="1" applyProtection="1">
      <alignment horizontal="center" vertical="center"/>
      <protection locked="0"/>
    </xf>
    <xf numFmtId="0" fontId="0" fillId="5" borderId="4" xfId="0" applyFill="1" applyBorder="1"/>
    <xf numFmtId="0" fontId="8" fillId="5" borderId="15" xfId="0" applyFont="1" applyFill="1" applyBorder="1" applyAlignment="1" applyProtection="1">
      <alignment horizontal="center"/>
      <protection locked="0"/>
    </xf>
    <xf numFmtId="0" fontId="0" fillId="5" borderId="20" xfId="0" applyFill="1" applyBorder="1" applyProtection="1">
      <protection locked="0"/>
    </xf>
    <xf numFmtId="0" fontId="0" fillId="5" borderId="21" xfId="0" applyFill="1" applyBorder="1" applyProtection="1">
      <protection locked="0"/>
    </xf>
    <xf numFmtId="0" fontId="4" fillId="5" borderId="12" xfId="3" applyFill="1" applyBorder="1" applyAlignment="1" applyProtection="1">
      <alignment horizontal="fill" vertical="center" wrapText="1" shrinkToFit="1"/>
      <protection locked="0"/>
    </xf>
    <xf numFmtId="0" fontId="8" fillId="5" borderId="13" xfId="0" applyFont="1" applyFill="1" applyBorder="1" applyAlignment="1" applyProtection="1">
      <alignment horizontal="fill"/>
      <protection locked="0"/>
    </xf>
    <xf numFmtId="0" fontId="13" fillId="5" borderId="12" xfId="3" applyFont="1" applyFill="1" applyBorder="1" applyAlignment="1" applyProtection="1">
      <alignment horizontal="center" vertical="center"/>
      <protection locked="0"/>
    </xf>
    <xf numFmtId="0" fontId="13" fillId="5" borderId="14" xfId="3" applyFont="1" applyFill="1" applyBorder="1" applyAlignment="1" applyProtection="1">
      <alignment horizontal="center" vertical="center"/>
      <protection locked="0"/>
    </xf>
    <xf numFmtId="0" fontId="8" fillId="5" borderId="16" xfId="0" applyFont="1" applyFill="1" applyBorder="1" applyAlignment="1" applyProtection="1">
      <alignment horizontal="fill"/>
      <protection locked="0"/>
    </xf>
    <xf numFmtId="10" fontId="8" fillId="5" borderId="10" xfId="4" applyNumberFormat="1" applyFont="1" applyFill="1" applyBorder="1" applyAlignment="1" applyProtection="1">
      <alignment horizontal="center"/>
      <protection locked="0"/>
    </xf>
    <xf numFmtId="0" fontId="4" fillId="5" borderId="22" xfId="3" applyFill="1" applyBorder="1" applyAlignment="1" applyProtection="1">
      <alignment horizontal="fill" vertical="center" wrapText="1" shrinkToFit="1"/>
      <protection locked="0"/>
    </xf>
    <xf numFmtId="0" fontId="8" fillId="5" borderId="11" xfId="0" applyFont="1" applyFill="1" applyBorder="1" applyAlignment="1" applyProtection="1">
      <alignment horizontal="center"/>
      <protection locked="0"/>
    </xf>
    <xf numFmtId="0" fontId="8" fillId="5" borderId="4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horizontal="center"/>
      <protection locked="0"/>
    </xf>
    <xf numFmtId="10" fontId="8" fillId="5" borderId="8" xfId="4" applyNumberFormat="1" applyFont="1" applyFill="1" applyBorder="1" applyAlignment="1" applyProtection="1">
      <alignment horizontal="center"/>
      <protection locked="0"/>
    </xf>
    <xf numFmtId="0" fontId="15" fillId="6" borderId="29" xfId="0" applyFont="1" applyFill="1" applyBorder="1" applyAlignment="1" applyProtection="1">
      <alignment horizontal="center" vertical="center"/>
      <protection locked="0"/>
    </xf>
    <xf numFmtId="0" fontId="15" fillId="6" borderId="27" xfId="0" applyFont="1" applyFill="1" applyBorder="1" applyAlignment="1" applyProtection="1">
      <alignment horizontal="center" vertical="center"/>
      <protection locked="0"/>
    </xf>
    <xf numFmtId="0" fontId="15" fillId="6" borderId="28" xfId="0" applyFont="1" applyFill="1" applyBorder="1" applyAlignment="1" applyProtection="1">
      <alignment horizontal="center" vertical="center"/>
      <protection locked="0"/>
    </xf>
    <xf numFmtId="2" fontId="8" fillId="6" borderId="13" xfId="0" applyNumberFormat="1" applyFont="1" applyFill="1" applyBorder="1" applyAlignment="1">
      <alignment horizontal="center"/>
    </xf>
    <xf numFmtId="2" fontId="8" fillId="6" borderId="16" xfId="0" applyNumberFormat="1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2" fontId="8" fillId="6" borderId="10" xfId="0" applyNumberFormat="1" applyFont="1" applyFill="1" applyBorder="1" applyAlignment="1">
      <alignment horizontal="center"/>
    </xf>
    <xf numFmtId="10" fontId="8" fillId="6" borderId="10" xfId="0" applyNumberFormat="1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2" fontId="8" fillId="6" borderId="2" xfId="0" applyNumberFormat="1" applyFont="1" applyFill="1" applyBorder="1" applyAlignment="1">
      <alignment horizontal="center"/>
    </xf>
    <xf numFmtId="10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2" fontId="8" fillId="6" borderId="15" xfId="0" applyNumberFormat="1" applyFont="1" applyFill="1" applyBorder="1" applyAlignment="1">
      <alignment horizontal="center"/>
    </xf>
    <xf numFmtId="10" fontId="8" fillId="6" borderId="15" xfId="0" applyNumberFormat="1" applyFont="1" applyFill="1" applyBorder="1" applyAlignment="1">
      <alignment horizontal="center"/>
    </xf>
    <xf numFmtId="0" fontId="12" fillId="8" borderId="31" xfId="0" applyFont="1" applyFill="1" applyBorder="1" applyAlignment="1" applyProtection="1">
      <alignment horizontal="center" vertical="center"/>
      <protection locked="0"/>
    </xf>
    <xf numFmtId="0" fontId="12" fillId="8" borderId="30" xfId="0" applyFont="1" applyFill="1" applyBorder="1" applyAlignment="1" applyProtection="1">
      <alignment horizontal="center" vertical="center"/>
      <protection locked="0"/>
    </xf>
    <xf numFmtId="0" fontId="9" fillId="8" borderId="32" xfId="0" applyFont="1" applyFill="1" applyBorder="1" applyAlignment="1" applyProtection="1">
      <alignment horizontal="center" vertical="center"/>
      <protection locked="0"/>
    </xf>
    <xf numFmtId="0" fontId="12" fillId="8" borderId="32" xfId="0" applyFont="1" applyFill="1" applyBorder="1" applyAlignment="1" applyProtection="1">
      <alignment horizontal="center" vertical="center"/>
      <protection locked="0"/>
    </xf>
    <xf numFmtId="0" fontId="12" fillId="8" borderId="33" xfId="0" applyFont="1" applyFill="1" applyBorder="1" applyAlignment="1" applyProtection="1">
      <alignment horizontal="center" vertical="center"/>
      <protection locked="0"/>
    </xf>
    <xf numFmtId="0" fontId="14" fillId="8" borderId="33" xfId="0" applyFont="1" applyFill="1" applyBorder="1" applyAlignment="1" applyProtection="1">
      <alignment horizontal="center" vertical="center"/>
      <protection locked="0"/>
    </xf>
    <xf numFmtId="0" fontId="9" fillId="8" borderId="34" xfId="0" applyFont="1" applyFill="1" applyBorder="1" applyAlignment="1" applyProtection="1">
      <alignment horizontal="center" vertical="center"/>
      <protection locked="0"/>
    </xf>
    <xf numFmtId="0" fontId="9" fillId="8" borderId="35" xfId="0" applyFont="1" applyFill="1" applyBorder="1" applyAlignment="1" applyProtection="1">
      <alignment horizontal="center" vertical="center"/>
      <protection locked="0"/>
    </xf>
    <xf numFmtId="0" fontId="9" fillId="8" borderId="30" xfId="0" applyFont="1" applyFill="1" applyBorder="1" applyAlignment="1" applyProtection="1">
      <alignment horizontal="center" vertical="center"/>
      <protection locked="0"/>
    </xf>
    <xf numFmtId="0" fontId="9" fillId="8" borderId="33" xfId="0" applyFont="1" applyFill="1" applyBorder="1" applyAlignment="1" applyProtection="1">
      <alignment horizontal="center" vertical="center"/>
      <protection locked="0"/>
    </xf>
    <xf numFmtId="0" fontId="9" fillId="8" borderId="36" xfId="0" applyFont="1" applyFill="1" applyBorder="1" applyAlignment="1" applyProtection="1">
      <alignment horizontal="center" vertical="center"/>
      <protection locked="0"/>
    </xf>
    <xf numFmtId="0" fontId="17" fillId="6" borderId="37" xfId="0" applyFont="1" applyFill="1" applyBorder="1"/>
    <xf numFmtId="0" fontId="19" fillId="6" borderId="39" xfId="3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/>
    </xf>
    <xf numFmtId="0" fontId="0" fillId="6" borderId="17" xfId="0" applyFill="1" applyBorder="1"/>
    <xf numFmtId="2" fontId="8" fillId="6" borderId="18" xfId="0" applyNumberFormat="1" applyFont="1" applyFill="1" applyBorder="1" applyAlignment="1">
      <alignment horizontal="center"/>
    </xf>
    <xf numFmtId="0" fontId="0" fillId="6" borderId="12" xfId="0" applyFill="1" applyBorder="1"/>
    <xf numFmtId="0" fontId="0" fillId="6" borderId="14" xfId="0" applyFill="1" applyBorder="1"/>
    <xf numFmtId="0" fontId="2" fillId="6" borderId="0" xfId="2" applyFill="1" applyBorder="1" applyAlignment="1">
      <alignment horizontal="center" vertical="center"/>
    </xf>
    <xf numFmtId="0" fontId="2" fillId="6" borderId="0" xfId="2" applyFill="1" applyBorder="1" applyAlignment="1">
      <alignment vertical="center"/>
    </xf>
    <xf numFmtId="0" fontId="2" fillId="6" borderId="2" xfId="2" applyFill="1" applyBorder="1" applyAlignment="1">
      <alignment horizontal="center" vertical="center"/>
    </xf>
    <xf numFmtId="167" fontId="2" fillId="6" borderId="2" xfId="2" applyNumberFormat="1" applyFill="1" applyBorder="1" applyAlignment="1">
      <alignment horizontal="center" vertical="center"/>
    </xf>
    <xf numFmtId="167" fontId="2" fillId="6" borderId="2" xfId="1" applyNumberFormat="1" applyFont="1" applyFill="1" applyBorder="1" applyAlignment="1">
      <alignment horizontal="center" vertical="center"/>
    </xf>
    <xf numFmtId="165" fontId="2" fillId="6" borderId="2" xfId="2" applyNumberFormat="1" applyFill="1" applyBorder="1" applyAlignment="1">
      <alignment horizontal="center" vertical="center"/>
    </xf>
    <xf numFmtId="0" fontId="21" fillId="6" borderId="2" xfId="2" applyFont="1" applyFill="1" applyBorder="1" applyAlignment="1">
      <alignment horizontal="center" vertical="center"/>
    </xf>
    <xf numFmtId="9" fontId="21" fillId="6" borderId="2" xfId="2" applyNumberFormat="1" applyFont="1" applyFill="1" applyBorder="1" applyAlignment="1">
      <alignment horizontal="center" vertical="center"/>
    </xf>
    <xf numFmtId="9" fontId="2" fillId="6" borderId="2" xfId="2" applyNumberFormat="1" applyFill="1" applyBorder="1" applyAlignment="1">
      <alignment horizontal="center" vertical="center"/>
    </xf>
    <xf numFmtId="9" fontId="2" fillId="9" borderId="2" xfId="2" applyNumberFormat="1" applyFill="1" applyBorder="1" applyAlignment="1">
      <alignment horizontal="center" vertical="center"/>
    </xf>
    <xf numFmtId="168" fontId="2" fillId="9" borderId="6" xfId="2" applyNumberFormat="1" applyFill="1" applyBorder="1"/>
    <xf numFmtId="169" fontId="2" fillId="9" borderId="6" xfId="2" applyNumberFormat="1" applyFill="1" applyBorder="1"/>
    <xf numFmtId="0" fontId="8" fillId="5" borderId="0" xfId="0" applyFont="1" applyFill="1" applyAlignment="1">
      <alignment horizontal="center" vertical="center"/>
    </xf>
    <xf numFmtId="0" fontId="24" fillId="6" borderId="47" xfId="0" applyFont="1" applyFill="1" applyBorder="1" applyAlignment="1">
      <alignment horizontal="center" vertical="center"/>
    </xf>
    <xf numFmtId="0" fontId="24" fillId="6" borderId="46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2" fillId="5" borderId="23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9" fontId="22" fillId="5" borderId="2" xfId="4" applyFont="1" applyFill="1" applyBorder="1" applyAlignment="1">
      <alignment horizontal="center" vertical="center"/>
    </xf>
    <xf numFmtId="9" fontId="22" fillId="5" borderId="13" xfId="4" applyFont="1" applyFill="1" applyBorder="1" applyAlignment="1">
      <alignment horizontal="center" vertical="center"/>
    </xf>
    <xf numFmtId="10" fontId="22" fillId="5" borderId="2" xfId="4" applyNumberFormat="1" applyFont="1" applyFill="1" applyBorder="1" applyAlignment="1">
      <alignment horizontal="center" vertical="center"/>
    </xf>
    <xf numFmtId="10" fontId="22" fillId="5" borderId="13" xfId="4" applyNumberFormat="1" applyFont="1" applyFill="1" applyBorder="1" applyAlignment="1">
      <alignment horizontal="center" vertical="center"/>
    </xf>
    <xf numFmtId="9" fontId="22" fillId="5" borderId="15" xfId="4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9" fontId="22" fillId="5" borderId="4" xfId="4" applyFont="1" applyFill="1" applyBorder="1" applyAlignment="1">
      <alignment horizontal="center" vertical="center"/>
    </xf>
    <xf numFmtId="9" fontId="22" fillId="5" borderId="4" xfId="0" applyNumberFormat="1" applyFont="1" applyFill="1" applyBorder="1" applyAlignment="1">
      <alignment horizontal="center" vertical="center"/>
    </xf>
    <xf numFmtId="10" fontId="22" fillId="5" borderId="25" xfId="4" applyNumberFormat="1" applyFont="1" applyFill="1" applyBorder="1" applyAlignment="1">
      <alignment horizontal="center" vertical="center"/>
    </xf>
    <xf numFmtId="0" fontId="24" fillId="6" borderId="12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24" fillId="6" borderId="14" xfId="0" applyFont="1" applyFill="1" applyBorder="1" applyAlignment="1">
      <alignment horizontal="center" vertical="center"/>
    </xf>
    <xf numFmtId="0" fontId="24" fillId="6" borderId="16" xfId="0" applyFont="1" applyFill="1" applyBorder="1" applyAlignment="1">
      <alignment horizontal="center" vertical="center"/>
    </xf>
    <xf numFmtId="0" fontId="24" fillId="6" borderId="15" xfId="0" applyFont="1" applyFill="1" applyBorder="1" applyAlignment="1">
      <alignment horizontal="center" vertical="center"/>
    </xf>
    <xf numFmtId="0" fontId="2" fillId="6" borderId="2" xfId="2" applyFill="1" applyBorder="1" applyAlignment="1">
      <alignment horizontal="center"/>
    </xf>
    <xf numFmtId="0" fontId="2" fillId="6" borderId="2" xfId="2" applyFill="1" applyBorder="1"/>
    <xf numFmtId="0" fontId="21" fillId="6" borderId="2" xfId="2" applyFont="1" applyFill="1" applyBorder="1" applyAlignment="1">
      <alignment horizontal="center"/>
    </xf>
    <xf numFmtId="0" fontId="21" fillId="6" borderId="0" xfId="2" applyFont="1" applyFill="1" applyBorder="1" applyAlignment="1">
      <alignment horizontal="center"/>
    </xf>
    <xf numFmtId="0" fontId="18" fillId="5" borderId="0" xfId="2" applyFont="1" applyFill="1" applyBorder="1"/>
    <xf numFmtId="170" fontId="2" fillId="6" borderId="2" xfId="2" applyNumberFormat="1" applyFill="1" applyBorder="1" applyAlignment="1">
      <alignment horizontal="center"/>
    </xf>
    <xf numFmtId="2" fontId="2" fillId="6" borderId="2" xfId="2" applyNumberFormat="1" applyFill="1" applyBorder="1" applyAlignment="1">
      <alignment horizontal="center"/>
    </xf>
    <xf numFmtId="0" fontId="20" fillId="6" borderId="0" xfId="2" applyFont="1" applyFill="1" applyBorder="1"/>
    <xf numFmtId="0" fontId="20" fillId="5" borderId="0" xfId="2" applyFont="1" applyFill="1" applyBorder="1"/>
    <xf numFmtId="0" fontId="21" fillId="5" borderId="0" xfId="2" applyFont="1" applyFill="1" applyBorder="1" applyAlignment="1">
      <alignment horizontal="center"/>
    </xf>
    <xf numFmtId="0" fontId="2" fillId="5" borderId="0" xfId="2" applyFill="1" applyBorder="1" applyAlignment="1">
      <alignment horizontal="left" vertical="center"/>
    </xf>
    <xf numFmtId="0" fontId="4" fillId="6" borderId="38" xfId="3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0" fontId="24" fillId="6" borderId="45" xfId="0" applyFont="1" applyFill="1" applyBorder="1" applyAlignment="1">
      <alignment horizontal="center" vertical="center"/>
    </xf>
    <xf numFmtId="0" fontId="24" fillId="6" borderId="43" xfId="0" applyFont="1" applyFill="1" applyBorder="1" applyAlignment="1">
      <alignment horizontal="center" vertical="center"/>
    </xf>
    <xf numFmtId="0" fontId="24" fillId="6" borderId="29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48" xfId="0" applyFont="1" applyFill="1" applyBorder="1" applyAlignment="1">
      <alignment horizontal="center" vertical="center"/>
    </xf>
    <xf numFmtId="0" fontId="24" fillId="6" borderId="49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24" fillId="6" borderId="50" xfId="0" applyFont="1" applyFill="1" applyBorder="1" applyAlignment="1">
      <alignment horizontal="center" vertical="center"/>
    </xf>
    <xf numFmtId="0" fontId="24" fillId="6" borderId="31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24" fillId="6" borderId="25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10" fontId="0" fillId="5" borderId="0" xfId="0" applyNumberFormat="1" applyFill="1"/>
    <xf numFmtId="0" fontId="24" fillId="6" borderId="51" xfId="0" applyFont="1" applyFill="1" applyBorder="1" applyAlignment="1">
      <alignment horizontal="center" vertical="center"/>
    </xf>
    <xf numFmtId="9" fontId="22" fillId="5" borderId="7" xfId="4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52" xfId="0" applyFont="1" applyFill="1" applyBorder="1" applyAlignment="1">
      <alignment horizontal="center" vertical="center"/>
    </xf>
    <xf numFmtId="0" fontId="24" fillId="6" borderId="42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vertical="center"/>
    </xf>
    <xf numFmtId="0" fontId="24" fillId="6" borderId="29" xfId="0" applyFont="1" applyFill="1" applyBorder="1" applyAlignment="1">
      <alignment vertical="center"/>
    </xf>
    <xf numFmtId="10" fontId="8" fillId="5" borderId="0" xfId="0" applyNumberFormat="1" applyFont="1" applyFill="1" applyAlignment="1">
      <alignment horizontal="center" vertical="center"/>
    </xf>
    <xf numFmtId="164" fontId="0" fillId="0" borderId="0" xfId="4" applyNumberFormat="1" applyFont="1"/>
    <xf numFmtId="0" fontId="27" fillId="3" borderId="0" xfId="2" applyFont="1" applyFill="1" applyBorder="1" applyAlignment="1">
      <alignment horizontal="center" vertical="center"/>
    </xf>
    <xf numFmtId="9" fontId="27" fillId="3" borderId="0" xfId="2" applyNumberFormat="1" applyFont="1" applyFill="1" applyBorder="1" applyAlignment="1">
      <alignment horizontal="center" vertical="center"/>
    </xf>
    <xf numFmtId="167" fontId="26" fillId="3" borderId="0" xfId="2" applyNumberFormat="1" applyFont="1" applyFill="1" applyBorder="1" applyAlignment="1">
      <alignment horizontal="center" vertical="center"/>
    </xf>
    <xf numFmtId="167" fontId="26" fillId="3" borderId="0" xfId="1" applyNumberFormat="1" applyFont="1" applyFill="1" applyAlignment="1">
      <alignment horizontal="center" vertical="center"/>
    </xf>
    <xf numFmtId="165" fontId="26" fillId="3" borderId="0" xfId="2" applyNumberFormat="1" applyFont="1" applyFill="1" applyBorder="1" applyAlignment="1">
      <alignment horizontal="center" vertical="center"/>
    </xf>
    <xf numFmtId="171" fontId="15" fillId="6" borderId="42" xfId="0" applyNumberFormat="1" applyFont="1" applyFill="1" applyBorder="1" applyAlignment="1" applyProtection="1">
      <alignment horizontal="center"/>
      <protection locked="0"/>
    </xf>
    <xf numFmtId="0" fontId="2" fillId="9" borderId="2" xfId="2" applyFill="1" applyBorder="1" applyAlignment="1" applyProtection="1">
      <alignment horizontal="center" vertical="center"/>
      <protection locked="0"/>
    </xf>
    <xf numFmtId="9" fontId="21" fillId="6" borderId="2" xfId="4" applyFont="1" applyFill="1" applyBorder="1" applyAlignment="1" applyProtection="1">
      <alignment horizontal="center" vertical="center"/>
      <protection locked="0"/>
    </xf>
    <xf numFmtId="170" fontId="2" fillId="9" borderId="2" xfId="2" applyNumberFormat="1" applyFill="1" applyBorder="1" applyAlignment="1" applyProtection="1">
      <alignment horizontal="center"/>
      <protection locked="0"/>
    </xf>
    <xf numFmtId="0" fontId="2" fillId="9" borderId="2" xfId="2" applyFill="1" applyBorder="1" applyAlignment="1" applyProtection="1">
      <alignment horizontal="center"/>
      <protection locked="0"/>
    </xf>
    <xf numFmtId="2" fontId="2" fillId="9" borderId="2" xfId="2" applyNumberFormat="1" applyFill="1" applyBorder="1" applyAlignment="1" applyProtection="1">
      <alignment horizontal="center"/>
      <protection locked="0"/>
    </xf>
    <xf numFmtId="2" fontId="2" fillId="9" borderId="6" xfId="2" applyNumberFormat="1" applyFill="1" applyBorder="1" applyProtection="1">
      <protection locked="0"/>
    </xf>
    <xf numFmtId="10" fontId="2" fillId="9" borderId="6" xfId="4" applyNumberFormat="1" applyFont="1" applyFill="1" applyBorder="1" applyAlignment="1" applyProtection="1">
      <alignment horizontal="right"/>
      <protection locked="0"/>
    </xf>
    <xf numFmtId="1" fontId="2" fillId="9" borderId="6" xfId="2" applyNumberFormat="1" applyFill="1" applyBorder="1" applyProtection="1">
      <protection locked="0"/>
    </xf>
    <xf numFmtId="0" fontId="3" fillId="8" borderId="30" xfId="0" applyFont="1" applyFill="1" applyBorder="1" applyAlignment="1" applyProtection="1">
      <alignment horizontal="center" vertical="center"/>
      <protection locked="0"/>
    </xf>
    <xf numFmtId="165" fontId="2" fillId="6" borderId="2" xfId="2" applyNumberFormat="1" applyFill="1" applyBorder="1" applyAlignment="1" applyProtection="1">
      <alignment horizontal="center" vertical="center"/>
      <protection locked="0"/>
    </xf>
    <xf numFmtId="170" fontId="2" fillId="6" borderId="2" xfId="2" applyNumberFormat="1" applyFill="1" applyBorder="1" applyAlignment="1" applyProtection="1">
      <alignment horizontal="center"/>
      <protection locked="0"/>
    </xf>
    <xf numFmtId="170" fontId="2" fillId="6" borderId="2" xfId="2" applyNumberFormat="1" applyFill="1" applyBorder="1" applyProtection="1">
      <protection locked="0"/>
    </xf>
    <xf numFmtId="0" fontId="4" fillId="5" borderId="12" xfId="3" applyFill="1" applyBorder="1" applyAlignment="1" applyProtection="1">
      <alignment horizontal="center" vertical="center"/>
      <protection locked="0"/>
    </xf>
    <xf numFmtId="0" fontId="4" fillId="5" borderId="13" xfId="3" applyFill="1" applyBorder="1" applyAlignment="1" applyProtection="1">
      <alignment horizontal="fill"/>
      <protection locked="0"/>
    </xf>
    <xf numFmtId="0" fontId="4" fillId="5" borderId="20" xfId="3" applyFill="1" applyBorder="1" applyProtection="1">
      <protection locked="0"/>
    </xf>
    <xf numFmtId="0" fontId="8" fillId="5" borderId="24" xfId="0" applyFont="1" applyFill="1" applyBorder="1" applyAlignment="1" applyProtection="1">
      <alignment horizontal="left" vertical="top"/>
      <protection locked="0"/>
    </xf>
    <xf numFmtId="0" fontId="4" fillId="5" borderId="23" xfId="3" applyFill="1" applyBorder="1" applyAlignment="1" applyProtection="1">
      <alignment horizontal="fill"/>
      <protection locked="0"/>
    </xf>
    <xf numFmtId="172" fontId="8" fillId="3" borderId="41" xfId="0" applyNumberFormat="1" applyFont="1" applyFill="1" applyBorder="1" applyAlignment="1" applyProtection="1">
      <alignment horizontal="center"/>
      <protection locked="0"/>
    </xf>
    <xf numFmtId="172" fontId="8" fillId="5" borderId="10" xfId="0" applyNumberFormat="1" applyFont="1" applyFill="1" applyBorder="1" applyAlignment="1" applyProtection="1">
      <alignment horizontal="center"/>
      <protection locked="0"/>
    </xf>
    <xf numFmtId="172" fontId="8" fillId="5" borderId="11" xfId="0" applyNumberFormat="1" applyFont="1" applyFill="1" applyBorder="1" applyAlignment="1" applyProtection="1">
      <alignment horizontal="center"/>
      <protection locked="0"/>
    </xf>
    <xf numFmtId="172" fontId="8" fillId="5" borderId="4" xfId="0" applyNumberFormat="1" applyFont="1" applyFill="1" applyBorder="1" applyAlignment="1" applyProtection="1">
      <alignment horizontal="center"/>
      <protection locked="0"/>
    </xf>
    <xf numFmtId="172" fontId="8" fillId="5" borderId="2" xfId="0" applyNumberFormat="1" applyFont="1" applyFill="1" applyBorder="1" applyAlignment="1" applyProtection="1">
      <alignment horizontal="center"/>
      <protection locked="0"/>
    </xf>
    <xf numFmtId="172" fontId="8" fillId="5" borderId="13" xfId="0" applyNumberFormat="1" applyFont="1" applyFill="1" applyBorder="1" applyAlignment="1" applyProtection="1">
      <alignment horizontal="center"/>
      <protection locked="0"/>
    </xf>
    <xf numFmtId="172" fontId="8" fillId="5" borderId="25" xfId="0" applyNumberFormat="1" applyFont="1" applyFill="1" applyBorder="1" applyAlignment="1" applyProtection="1">
      <alignment horizontal="center"/>
      <protection locked="0"/>
    </xf>
    <xf numFmtId="172" fontId="8" fillId="5" borderId="15" xfId="0" applyNumberFormat="1" applyFont="1" applyFill="1" applyBorder="1" applyAlignment="1" applyProtection="1">
      <alignment horizontal="center"/>
      <protection locked="0"/>
    </xf>
    <xf numFmtId="172" fontId="8" fillId="5" borderId="16" xfId="0" applyNumberFormat="1" applyFont="1" applyFill="1" applyBorder="1" applyAlignment="1" applyProtection="1">
      <alignment horizontal="center"/>
      <protection locked="0"/>
    </xf>
    <xf numFmtId="172" fontId="8" fillId="5" borderId="3" xfId="0" applyNumberFormat="1" applyFont="1" applyFill="1" applyBorder="1" applyAlignment="1" applyProtection="1">
      <alignment horizontal="center"/>
      <protection locked="0"/>
    </xf>
    <xf numFmtId="172" fontId="8" fillId="5" borderId="19" xfId="0" applyNumberFormat="1" applyFont="1" applyFill="1" applyBorder="1" applyAlignment="1" applyProtection="1">
      <alignment horizontal="center"/>
      <protection locked="0"/>
    </xf>
    <xf numFmtId="0" fontId="28" fillId="0" borderId="0" xfId="0" applyFont="1"/>
    <xf numFmtId="10" fontId="28" fillId="0" borderId="0" xfId="0" applyNumberFormat="1" applyFont="1"/>
    <xf numFmtId="173" fontId="0" fillId="0" borderId="0" xfId="0" applyNumberFormat="1"/>
    <xf numFmtId="174" fontId="28" fillId="0" borderId="0" xfId="0" applyNumberFormat="1" applyFont="1"/>
    <xf numFmtId="174" fontId="0" fillId="0" borderId="0" xfId="0" applyNumberFormat="1"/>
    <xf numFmtId="175" fontId="0" fillId="0" borderId="0" xfId="0" applyNumberFormat="1"/>
    <xf numFmtId="173" fontId="28" fillId="0" borderId="0" xfId="0" applyNumberFormat="1" applyFont="1"/>
    <xf numFmtId="0" fontId="18" fillId="6" borderId="26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8" xfId="0" applyBorder="1"/>
    <xf numFmtId="0" fontId="3" fillId="6" borderId="0" xfId="2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8" fillId="6" borderId="26" xfId="0" applyFont="1" applyFill="1" applyBorder="1" applyAlignment="1">
      <alignment horizontal="center"/>
    </xf>
    <xf numFmtId="0" fontId="21" fillId="6" borderId="6" xfId="2" applyFont="1" applyFill="1" applyBorder="1" applyAlignment="1">
      <alignment horizontal="center"/>
    </xf>
    <xf numFmtId="0" fontId="0" fillId="0" borderId="53" xfId="0" applyBorder="1"/>
    <xf numFmtId="0" fontId="20" fillId="6" borderId="0" xfId="2" applyFont="1" applyFill="1" applyBorder="1" applyAlignment="1">
      <alignment horizontal="center"/>
    </xf>
    <xf numFmtId="0" fontId="2" fillId="5" borderId="0" xfId="2" applyFill="1" applyBorder="1"/>
    <xf numFmtId="0" fontId="21" fillId="3" borderId="0" xfId="2" applyFont="1" applyFill="1" applyBorder="1" applyAlignment="1">
      <alignment horizontal="center" vertical="center" wrapText="1"/>
    </xf>
    <xf numFmtId="0" fontId="20" fillId="6" borderId="0" xfId="2" applyFont="1" applyFill="1" applyBorder="1" applyAlignment="1">
      <alignment horizontal="center" vertical="center"/>
    </xf>
    <xf numFmtId="0" fontId="21" fillId="6" borderId="2" xfId="2" applyFont="1" applyFill="1" applyBorder="1" applyAlignment="1">
      <alignment horizontal="center" vertical="center"/>
    </xf>
    <xf numFmtId="0" fontId="0" fillId="0" borderId="55" xfId="0" applyBorder="1"/>
    <xf numFmtId="0" fontId="0" fillId="0" borderId="4" xfId="0" applyBorder="1"/>
    <xf numFmtId="0" fontId="24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24" fillId="6" borderId="57" xfId="0" applyFont="1" applyFill="1" applyBorder="1" applyAlignment="1">
      <alignment horizontal="center" vertical="center"/>
    </xf>
    <xf numFmtId="0" fontId="0" fillId="0" borderId="50" xfId="0" applyBorder="1"/>
    <xf numFmtId="0" fontId="0" fillId="0" borderId="49" xfId="0" applyBorder="1"/>
    <xf numFmtId="0" fontId="24" fillId="6" borderId="42" xfId="0" applyFont="1" applyFill="1" applyBorder="1" applyAlignment="1">
      <alignment horizontal="center" vertical="center"/>
    </xf>
    <xf numFmtId="0" fontId="0" fillId="0" borderId="20" xfId="0" applyBorder="1"/>
    <xf numFmtId="0" fontId="24" fillId="6" borderId="56" xfId="0" applyFont="1" applyFill="1" applyBorder="1" applyAlignment="1">
      <alignment horizontal="center" vertical="center"/>
    </xf>
    <xf numFmtId="0" fontId="0" fillId="0" borderId="21" xfId="0" applyBorder="1"/>
    <xf numFmtId="0" fontId="23" fillId="6" borderId="0" xfId="0" applyFont="1" applyFill="1" applyAlignment="1">
      <alignment horizontal="center" vertical="center"/>
    </xf>
    <xf numFmtId="0" fontId="24" fillId="6" borderId="47" xfId="0" applyFont="1" applyFill="1" applyBorder="1" applyAlignment="1">
      <alignment horizontal="center" vertical="center"/>
    </xf>
    <xf numFmtId="0" fontId="0" fillId="0" borderId="45" xfId="0" applyBorder="1"/>
    <xf numFmtId="0" fontId="24" fillId="6" borderId="41" xfId="0" applyFont="1" applyFill="1" applyBorder="1" applyAlignment="1">
      <alignment horizontal="center" vertical="center"/>
    </xf>
    <xf numFmtId="0" fontId="0" fillId="0" borderId="24" xfId="0" applyBorder="1"/>
    <xf numFmtId="0" fontId="0" fillId="0" borderId="0" xfId="0" applyNumberFormat="1"/>
    <xf numFmtId="0" fontId="8" fillId="3" borderId="0" xfId="0" applyFont="1" applyFill="1" applyBorder="1"/>
    <xf numFmtId="9" fontId="8" fillId="3" borderId="0" xfId="0" applyNumberFormat="1" applyFont="1" applyFill="1" applyBorder="1"/>
  </cellXfs>
  <cellStyles count="5">
    <cellStyle name="Check Cell" xfId="2" builtinId="23"/>
    <cellStyle name="Currency" xfId="1" builtinId="4"/>
    <cellStyle name="Hyperlink" xfId="3" builtinId="8"/>
    <cellStyle name="Normal" xfId="0" builtinId="0"/>
    <cellStyle name="Percent" xfId="4" builtinId="5"/>
  </cellStyles>
  <dxfs count="116"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numFmt numFmtId="13" formatCode="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3" formatCode="0%"/>
    </dxf>
    <dxf>
      <numFmt numFmtId="0" formatCode="General"/>
    </dxf>
    <dxf>
      <numFmt numFmtId="14" formatCode="0.00%"/>
    </dxf>
    <dxf>
      <numFmt numFmtId="13" formatCode="0%"/>
    </dxf>
    <dxf>
      <numFmt numFmtId="0" formatCode="General"/>
    </dxf>
    <dxf>
      <numFmt numFmtId="14" formatCode="0.00%"/>
    </dxf>
    <dxf>
      <numFmt numFmtId="2" formatCode="0.00"/>
    </dxf>
    <dxf>
      <numFmt numFmtId="0" formatCode="General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3" formatCode="0%"/>
    </dxf>
    <dxf>
      <numFmt numFmtId="2" formatCode="0.00"/>
    </dxf>
    <dxf>
      <numFmt numFmtId="2" formatCode="0.00"/>
    </dxf>
    <dxf>
      <numFmt numFmtId="13" formatCode="0%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0" formatCode="General"/>
    </dxf>
    <dxf>
      <numFmt numFmtId="2" formatCode="0.00"/>
    </dxf>
    <dxf>
      <numFmt numFmtId="14" formatCode="0.00%"/>
    </dxf>
    <dxf>
      <numFmt numFmtId="0" formatCode="General"/>
    </dxf>
    <dxf>
      <numFmt numFmtId="13" formatCode="0%"/>
    </dxf>
    <dxf>
      <numFmt numFmtId="14" formatCode="0.00%"/>
    </dxf>
    <dxf>
      <numFmt numFmtId="0" formatCode="General"/>
    </dxf>
    <dxf>
      <numFmt numFmtId="13" formatCode="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3" formatCode="0%"/>
    </dxf>
    <dxf>
      <font>
        <color theme="0"/>
      </font>
      <fill>
        <gradientFill degree="270">
          <stop position="0">
            <color theme="1" tint="0.49803155613879818"/>
          </stop>
          <stop position="1">
            <color theme="1"/>
          </stop>
        </gradient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indexed="64"/>
          <bgColor rgb="FF3D373C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darkstyle" pivot="0" table="0" count="2" xr9:uid="{00000000-0011-0000-FFFF-FFFF00000000}">
      <tableStyleElement type="wholeTable" dxfId="115"/>
      <tableStyleElement type="headerRow" dxfId="1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soren" refreshedDate="45517.534929861111" createdVersion="8" refreshedVersion="8" minRefreshableVersion="3" recordCount="1000" xr:uid="{00000000-000A-0000-FFFF-FFFF09000000}">
  <cacheSource type="worksheet">
    <worksheetSource ref="B6:X1006" sheet="Trades"/>
  </cacheSource>
  <cacheFields count="26">
    <cacheField name="#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71">
      <sharedItems containsNonDate="0" containsDate="1" containsString="0" containsBlank="1" minDate="2024-08-12T00:00:00" maxDate="2024-08-13T00:00:00" count="2">
        <d v="2024-08-12T00:00:00"/>
        <m/>
      </sharedItems>
      <fieldGroup par="25" base="1">
        <rangePr groupBy="days" startDate="2024-08-12T00:00:00" endDate="2024-08-13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3/2024"/>
        </groupItems>
      </fieldGroup>
    </cacheField>
    <cacheField name="Sort" numFmtId="0">
      <sharedItems containsBlank="1"/>
    </cacheField>
    <cacheField name="Symbol" numFmtId="0">
      <sharedItems containsBlank="1" count="22">
        <s v="NQ SEP24"/>
        <m/>
        <s v="BTCUSDT"/>
        <s v="USDJPY" u="1"/>
        <s v="NQ" u="1"/>
        <s v="EURGBP" u="1"/>
        <s v="Random" u="1"/>
        <s v="RVNUSDT" u="1"/>
        <s v="XRP" u="1"/>
        <s v="ETHUSDT" u="1"/>
        <s v="US100" u="1"/>
        <s v="SKLZ" u="1"/>
        <s v="EURUSD" u="1"/>
        <s v="NVDIA" u="1"/>
        <s v="TSLA" u="1"/>
        <s v="AMD" u="1"/>
        <s v="APEUSDT" u="1"/>
        <s v="BTC" u="1"/>
        <s v="ABNB" u="1"/>
        <s v="XRPUSDT" u="1"/>
        <s v="ADA" u="1"/>
        <s v="GBPJPY" u="1"/>
      </sharedItems>
    </cacheField>
    <cacheField name="Risk" numFmtId="10">
      <sharedItems containsString="0" containsBlank="1" containsNumber="1" minValue="8.0000000000000004E-4" maxValue="8.0000000000000004E-4"/>
    </cacheField>
    <cacheField name="TF" numFmtId="0">
      <sharedItems containsBlank="1"/>
    </cacheField>
    <cacheField name="Entry" numFmtId="172">
      <sharedItems containsString="0" containsBlank="1" containsNumber="1" containsInteger="1" minValue="18686" maxValue="18686"/>
    </cacheField>
    <cacheField name="SL" numFmtId="172">
      <sharedItems containsString="0" containsBlank="1" containsNumber="1" containsInteger="1" minValue="18682" maxValue="18682"/>
    </cacheField>
    <cacheField name="PT 1" numFmtId="172">
      <sharedItems containsString="0" containsBlank="1" containsNumber="1" containsInteger="1" minValue="18704" maxValue="18704"/>
    </cacheField>
    <cacheField name="L/S" numFmtId="0">
      <sharedItems count="3">
        <s v="LONG"/>
        <s v=""/>
        <s v="SHORT" u="1"/>
      </sharedItems>
    </cacheField>
    <cacheField name="RR 1PT" numFmtId="2">
      <sharedItems containsMixedTypes="1" containsNumber="1" minValue="4.5" maxValue="4.5"/>
    </cacheField>
    <cacheField name="PT 12" numFmtId="172">
      <sharedItems containsString="0" containsBlank="1" containsNumber="1" containsInteger="1" minValue="18704" maxValue="18704"/>
    </cacheField>
    <cacheField name="PT 2" numFmtId="172">
      <sharedItems containsNonDate="0" containsString="0" containsBlank="1"/>
    </cacheField>
    <cacheField name="PT 3" numFmtId="172">
      <sharedItems containsNonDate="0" containsString="0" containsBlank="1"/>
    </cacheField>
    <cacheField name="Starting Balanace" numFmtId="172">
      <sharedItems containsBlank="1"/>
    </cacheField>
    <cacheField name="SL Trigged" numFmtId="172">
      <sharedItems containsNonDate="0" containsString="0" containsBlank="1"/>
    </cacheField>
    <cacheField name="Avg. Exit" numFmtId="172">
      <sharedItems containsString="0" containsBlank="1" containsNumber="1" containsInteger="1" minValue="18704" maxValue="18704"/>
    </cacheField>
    <cacheField name="Winrate" numFmtId="10">
      <sharedItems containsMixedTypes="1" containsNumber="1" containsInteger="1" minValue="1" maxValue="1"/>
    </cacheField>
    <cacheField name="Status" numFmtId="0">
      <sharedItems/>
    </cacheField>
    <cacheField name="RR Exit" numFmtId="2">
      <sharedItems containsMixedTypes="1" containsNumber="1" minValue="4.5" maxValue="4.5"/>
    </cacheField>
    <cacheField name="PnL %" numFmtId="10">
      <sharedItems containsMixedTypes="1" containsNumber="1" minValue="3.6000000000000003E-3" maxValue="3.6000000000000003E-3"/>
    </cacheField>
    <cacheField name="Hit" numFmtId="0">
      <sharedItems count="5">
        <s v="PT1 Hit"/>
        <s v=""/>
        <s v="SL Hit" u="1"/>
        <s v="PT2 Hit" u="1"/>
        <s v="PT3 Hit" u="1"/>
      </sharedItems>
    </cacheField>
    <cacheField name="W/L" numFmtId="0">
      <sharedItems count="3">
        <s v="Win"/>
        <s v=""/>
        <s v="Loss" u="1"/>
      </sharedItems>
    </cacheField>
    <cacheField name="Result" numFmtId="0" formula="'Starting Balanace'+'PnL %'" databaseField="0"/>
    <cacheField name="Months" numFmtId="0" databaseField="0">
      <fieldGroup base="1">
        <rangePr groupBy="months" startDate="2024-08-12T00:00:00" endDate="2024-08-13T00:00:00"/>
        <groupItems count="14">
          <s v="&lt;8/1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3/2024"/>
        </groupItems>
      </fieldGroup>
    </cacheField>
    <cacheField name="Years" numFmtId="0" databaseField="0">
      <fieldGroup base="1">
        <rangePr groupBy="years" startDate="2024-08-12T00:00:00" endDate="2024-08-13T00:00:00"/>
        <groupItems count="3">
          <s v="&lt;8/12/2024"/>
          <s v="2024"/>
          <s v="&gt;8/1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Stocks"/>
    <x v="0"/>
    <n v="8.0000000000000004E-4"/>
    <s v="1min"/>
    <n v="18686"/>
    <n v="18682"/>
    <n v="18704"/>
    <x v="0"/>
    <n v="4.5"/>
    <n v="18704"/>
    <m/>
    <m/>
    <m/>
    <m/>
    <n v="18704"/>
    <n v="1"/>
    <s v="Closed"/>
    <n v="4.5"/>
    <n v="3.6000000000000003E-3"/>
    <x v="0"/>
    <x v="0"/>
  </r>
  <r>
    <x v="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1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2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3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4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5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6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7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7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8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89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0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1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2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3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4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5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6"/>
    <x v="1"/>
    <m/>
    <x v="1"/>
    <m/>
    <m/>
    <m/>
    <m/>
    <m/>
    <x v="1"/>
    <s v=""/>
    <m/>
    <m/>
    <m/>
    <m/>
    <m/>
    <m/>
    <s v=""/>
    <s v=""/>
    <s v=""/>
    <s v=""/>
    <x v="1"/>
    <x v="1"/>
  </r>
  <r>
    <x v="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1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2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3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4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5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2"/>
    <x v="1"/>
    <s v="Crypto"/>
    <x v="2"/>
    <m/>
    <m/>
    <m/>
    <m/>
    <m/>
    <x v="1"/>
    <s v=""/>
    <m/>
    <m/>
    <m/>
    <s v=""/>
    <m/>
    <m/>
    <s v=""/>
    <s v=""/>
    <s v=""/>
    <s v=""/>
    <x v="1"/>
    <x v="1"/>
  </r>
  <r>
    <x v="6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6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7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89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0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1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2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3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4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5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6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7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89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0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1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2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3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4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5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6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7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8"/>
    <x v="1"/>
    <m/>
    <x v="1"/>
    <m/>
    <m/>
    <m/>
    <m/>
    <m/>
    <x v="1"/>
    <s v=""/>
    <m/>
    <m/>
    <m/>
    <s v=""/>
    <m/>
    <m/>
    <s v=""/>
    <s v=""/>
    <s v=""/>
    <s v=""/>
    <x v="1"/>
    <x v="1"/>
  </r>
  <r>
    <x v="999"/>
    <x v="1"/>
    <m/>
    <x v="1"/>
    <m/>
    <m/>
    <m/>
    <m/>
    <m/>
    <x v="1"/>
    <s v=""/>
    <m/>
    <m/>
    <m/>
    <s v=""/>
    <m/>
    <m/>
    <s v=""/>
    <s v=""/>
    <s v=""/>
    <s v="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2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J4:AJ5" firstHeaderRow="1" firstDataRow="1" firstDataCol="0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Items count="1">
    <i/>
  </colItems>
  <dataFields count="1">
    <dataField name="Average of RR 1PT" fld="10" subtotal="average" baseField="0" baseItem="9"/>
  </dataFields>
  <formats count="1"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Y4:AZ5" firstHeaderRow="1" firstDataRow="1" firstDataCol="1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h="1" x="1"/>
        <item m="1" x="2"/>
        <item h="1" x="0"/>
        <item t="default"/>
      </items>
    </pivotField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2"/>
  </rowFields>
  <rowItems count="1">
    <i t="grand">
      <x/>
    </i>
  </rowItems>
  <colItems count="1">
    <i/>
  </colItems>
  <dataFields count="1">
    <dataField name="Min of PnL %" fld="20" subtotal="min" baseField="22" baseItem="2"/>
  </dataFields>
  <formats count="2">
    <format dxfId="102">
      <pivotArea dataOnly="0" labelOnly="1" outline="0" axis="axisValues" fieldPosition="0"/>
    </format>
    <format dxfId="10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4:G8" firstHeaderRow="1" firstDataRow="1" firstDataCol="1"/>
  <pivotFields count="26">
    <pivotField showAll="0"/>
    <pivotField axis="axisRow" numFmtId="14" showAll="0" sortType="ascending">
      <items count="369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axis="axisRow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25"/>
    <field x="24"/>
    <field x="1"/>
  </rowFields>
  <rowItems count="4">
    <i>
      <x/>
    </i>
    <i r="1">
      <x/>
    </i>
    <i r="2">
      <x/>
    </i>
    <i t="grand">
      <x/>
    </i>
  </rowItems>
  <colItems count="1">
    <i/>
  </colItems>
  <dataFields count="1">
    <dataField name="Sum of PnL %" fld="20" baseField="1" baseItem="1"/>
  </dataFields>
  <formats count="1">
    <format dxfId="10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2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O4:AO5" firstHeaderRow="1" firstDataRow="1" firstDataCol="0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Items count="1">
    <i/>
  </colItems>
  <dataFields count="1">
    <dataField name="Sum of Starting Balanace" fld="14" baseField="0" baseItem="0" numFmtId="10"/>
  </dataFields>
  <formats count="2">
    <format dxfId="105">
      <pivotArea dataOnly="0" labelOnly="1" outline="0" axis="axisValues" fieldPosition="0"/>
    </format>
    <format dxfId="10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4:L8" firstHeaderRow="1" firstDataRow="1" firstDataCol="1"/>
  <pivotFields count="26">
    <pivotField showAll="0"/>
    <pivotField axis="axisRow" numFmtId="14" showAll="0" sortType="ascending">
      <items count="369">
        <item x="0"/>
        <item h="1" x="367"/>
        <item h="1" x="101"/>
        <item h="1" x="223"/>
        <item h="1" x="345"/>
        <item h="1" x="41"/>
        <item h="1" x="10"/>
        <item h="1" x="192"/>
        <item h="1" x="162"/>
        <item h="1" x="70"/>
        <item h="1" x="131"/>
        <item h="1" x="315"/>
        <item h="1" x="284"/>
        <item h="1" x="254"/>
        <item h="1" x="102"/>
        <item h="1" x="224"/>
        <item h="1" x="346"/>
        <item h="1" x="42"/>
        <item h="1" x="11"/>
        <item h="1" x="193"/>
        <item h="1" x="163"/>
        <item h="1" x="71"/>
        <item h="1" x="132"/>
        <item h="1" x="316"/>
        <item h="1" x="285"/>
        <item h="1" x="255"/>
        <item h="1" x="103"/>
        <item h="1" x="225"/>
        <item h="1" x="347"/>
        <item h="1" x="43"/>
        <item h="1" x="12"/>
        <item h="1" x="194"/>
        <item h="1" x="164"/>
        <item h="1" x="72"/>
        <item h="1" x="133"/>
        <item h="1" x="317"/>
        <item h="1" x="286"/>
        <item h="1" x="256"/>
        <item h="1" x="104"/>
        <item h="1" x="226"/>
        <item h="1" x="348"/>
        <item h="1" x="44"/>
        <item h="1" x="13"/>
        <item h="1" x="195"/>
        <item h="1" x="165"/>
        <item h="1" x="73"/>
        <item h="1" x="134"/>
        <item h="1" x="318"/>
        <item h="1" x="287"/>
        <item h="1" x="257"/>
        <item h="1" x="105"/>
        <item h="1" x="227"/>
        <item h="1" x="349"/>
        <item h="1" x="45"/>
        <item h="1" x="14"/>
        <item h="1" x="196"/>
        <item h="1" x="166"/>
        <item h="1" x="74"/>
        <item h="1" x="135"/>
        <item h="1" x="319"/>
        <item h="1" x="288"/>
        <item h="1" x="258"/>
        <item h="1" x="106"/>
        <item h="1" x="228"/>
        <item h="1" x="350"/>
        <item h="1" x="46"/>
        <item h="1" x="15"/>
        <item h="1" x="197"/>
        <item h="1" x="167"/>
        <item h="1" x="75"/>
        <item h="1" x="136"/>
        <item h="1" x="320"/>
        <item h="1" x="289"/>
        <item h="1" x="259"/>
        <item h="1" x="107"/>
        <item h="1" x="229"/>
        <item h="1" x="351"/>
        <item h="1" x="47"/>
        <item h="1" x="16"/>
        <item h="1" x="198"/>
        <item h="1" x="168"/>
        <item h="1" x="76"/>
        <item h="1" x="137"/>
        <item h="1" x="321"/>
        <item h="1" x="290"/>
        <item h="1" x="260"/>
        <item h="1" x="108"/>
        <item h="1" x="230"/>
        <item h="1" x="352"/>
        <item h="1" x="48"/>
        <item h="1" x="17"/>
        <item h="1" x="199"/>
        <item h="1" x="169"/>
        <item h="1" x="77"/>
        <item h="1" x="138"/>
        <item h="1" x="322"/>
        <item h="1" x="291"/>
        <item h="1" x="261"/>
        <item h="1" x="109"/>
        <item h="1" x="231"/>
        <item h="1" x="353"/>
        <item h="1" x="49"/>
        <item h="1" x="18"/>
        <item h="1" x="200"/>
        <item h="1" x="170"/>
        <item h="1" x="78"/>
        <item h="1" x="139"/>
        <item h="1" x="323"/>
        <item h="1" x="292"/>
        <item h="1" x="262"/>
        <item h="1" x="110"/>
        <item h="1" x="232"/>
        <item h="1" x="354"/>
        <item h="1" x="50"/>
        <item h="1" x="19"/>
        <item h="1" x="201"/>
        <item h="1" x="171"/>
        <item h="1" x="79"/>
        <item h="1" x="140"/>
        <item h="1" x="324"/>
        <item h="1" x="293"/>
        <item h="1" x="263"/>
        <item h="1" x="92"/>
        <item h="1" x="214"/>
        <item h="1" x="336"/>
        <item h="1" x="32"/>
        <item h="1" x="1"/>
        <item h="1" x="183"/>
        <item h="1" x="153"/>
        <item h="1" x="61"/>
        <item h="1" x="122"/>
        <item h="1" x="306"/>
        <item h="1" x="275"/>
        <item h="1" x="245"/>
        <item h="1" x="111"/>
        <item h="1" x="233"/>
        <item h="1" x="355"/>
        <item h="1" x="51"/>
        <item h="1" x="20"/>
        <item h="1" x="202"/>
        <item h="1" x="172"/>
        <item h="1" x="80"/>
        <item h="1" x="141"/>
        <item h="1" x="325"/>
        <item h="1" x="294"/>
        <item h="1" x="264"/>
        <item h="1" x="112"/>
        <item h="1" x="234"/>
        <item h="1" x="356"/>
        <item h="1" x="52"/>
        <item h="1" x="21"/>
        <item h="1" x="203"/>
        <item h="1" x="173"/>
        <item h="1" x="81"/>
        <item h="1" x="142"/>
        <item h="1" x="326"/>
        <item h="1" x="295"/>
        <item h="1" x="265"/>
        <item h="1" x="113"/>
        <item h="1" x="235"/>
        <item h="1" x="357"/>
        <item h="1" x="53"/>
        <item h="1" x="22"/>
        <item h="1" x="204"/>
        <item h="1" x="174"/>
        <item h="1" x="82"/>
        <item h="1" x="143"/>
        <item h="1" x="327"/>
        <item h="1" x="296"/>
        <item h="1" x="266"/>
        <item h="1" x="114"/>
        <item h="1" x="236"/>
        <item h="1" x="358"/>
        <item h="1" x="54"/>
        <item h="1" x="23"/>
        <item h="1" x="205"/>
        <item h="1" x="175"/>
        <item h="1" x="83"/>
        <item h="1" x="144"/>
        <item h="1" x="328"/>
        <item h="1" x="297"/>
        <item h="1" x="267"/>
        <item h="1" x="115"/>
        <item h="1" x="237"/>
        <item h="1" x="359"/>
        <item h="1" x="55"/>
        <item h="1" x="24"/>
        <item h="1" x="206"/>
        <item h="1" x="176"/>
        <item h="1" x="84"/>
        <item h="1" x="145"/>
        <item h="1" x="329"/>
        <item h="1" x="298"/>
        <item h="1" x="268"/>
        <item h="1" x="116"/>
        <item h="1" x="238"/>
        <item h="1" x="360"/>
        <item h="1" x="56"/>
        <item h="1" x="25"/>
        <item h="1" x="207"/>
        <item h="1" x="177"/>
        <item h="1" x="85"/>
        <item h="1" x="146"/>
        <item h="1" x="330"/>
        <item h="1" x="299"/>
        <item h="1" x="269"/>
        <item h="1" x="117"/>
        <item h="1" x="239"/>
        <item h="1" x="361"/>
        <item h="1" x="57"/>
        <item h="1" x="26"/>
        <item h="1" x="208"/>
        <item h="1" x="178"/>
        <item h="1" x="86"/>
        <item h="1" x="147"/>
        <item h="1" x="331"/>
        <item h="1" x="300"/>
        <item h="1" x="270"/>
        <item h="1" x="118"/>
        <item h="1" x="240"/>
        <item h="1" x="362"/>
        <item h="1" x="58"/>
        <item h="1" x="27"/>
        <item h="1" x="209"/>
        <item h="1" x="179"/>
        <item h="1" x="87"/>
        <item h="1" x="148"/>
        <item h="1" x="332"/>
        <item h="1" x="301"/>
        <item h="1" x="271"/>
        <item h="1" x="119"/>
        <item h="1" x="241"/>
        <item h="1" x="363"/>
        <item h="1" x="59"/>
        <item h="1" x="28"/>
        <item h="1" x="210"/>
        <item h="1" x="180"/>
        <item h="1" x="88"/>
        <item h="1" x="149"/>
        <item h="1" x="333"/>
        <item h="1" x="302"/>
        <item h="1" x="272"/>
        <item h="1" x="120"/>
        <item h="1" x="242"/>
        <item h="1" x="364"/>
        <item h="1" x="60"/>
        <item h="1" x="29"/>
        <item h="1" x="211"/>
        <item h="1" x="181"/>
        <item h="1" x="89"/>
        <item h="1" x="150"/>
        <item h="1" x="334"/>
        <item h="1" x="303"/>
        <item h="1" x="273"/>
        <item h="1" x="93"/>
        <item h="1" x="215"/>
        <item h="1" x="337"/>
        <item h="1" x="33"/>
        <item h="1" x="2"/>
        <item h="1" x="184"/>
        <item h="1" x="154"/>
        <item h="1" x="62"/>
        <item h="1" x="123"/>
        <item h="1" x="307"/>
        <item h="1" x="276"/>
        <item h="1" x="246"/>
        <item h="1" x="121"/>
        <item h="1" x="243"/>
        <item h="1" x="365"/>
        <item h="1" x="30"/>
        <item h="1" x="212"/>
        <item h="1" x="182"/>
        <item h="1" x="90"/>
        <item h="1" x="151"/>
        <item h="1" x="335"/>
        <item h="1" x="304"/>
        <item h="1" x="274"/>
        <item h="1" x="244"/>
        <item h="1" x="366"/>
        <item h="1" x="31"/>
        <item h="1" x="213"/>
        <item h="1" x="91"/>
        <item h="1" x="152"/>
        <item h="1" x="305"/>
        <item h="1" x="94"/>
        <item h="1" x="216"/>
        <item h="1" x="338"/>
        <item h="1" x="34"/>
        <item h="1" x="3"/>
        <item h="1" x="185"/>
        <item h="1" x="155"/>
        <item h="1" x="63"/>
        <item h="1" x="124"/>
        <item h="1" x="308"/>
        <item h="1" x="277"/>
        <item h="1" x="247"/>
        <item h="1" x="95"/>
        <item h="1" x="217"/>
        <item h="1" x="339"/>
        <item h="1" x="35"/>
        <item h="1" x="4"/>
        <item h="1" x="186"/>
        <item h="1" x="156"/>
        <item h="1" x="64"/>
        <item h="1" x="125"/>
        <item h="1" x="309"/>
        <item h="1" x="278"/>
        <item h="1" x="248"/>
        <item h="1" x="96"/>
        <item h="1" x="218"/>
        <item h="1" x="340"/>
        <item h="1" x="36"/>
        <item h="1" x="5"/>
        <item h="1" x="187"/>
        <item h="1" x="157"/>
        <item h="1" x="65"/>
        <item h="1" x="126"/>
        <item h="1" x="310"/>
        <item h="1" x="279"/>
        <item h="1" x="249"/>
        <item h="1" x="97"/>
        <item h="1" x="219"/>
        <item h="1" x="341"/>
        <item h="1" x="37"/>
        <item h="1" x="6"/>
        <item h="1" x="188"/>
        <item h="1" x="158"/>
        <item h="1" x="66"/>
        <item h="1" x="127"/>
        <item h="1" x="311"/>
        <item h="1" x="280"/>
        <item h="1" x="250"/>
        <item h="1" x="98"/>
        <item h="1" x="220"/>
        <item h="1" x="342"/>
        <item h="1" x="38"/>
        <item h="1" x="7"/>
        <item h="1" x="189"/>
        <item h="1" x="159"/>
        <item h="1" x="67"/>
        <item h="1" x="128"/>
        <item h="1" x="312"/>
        <item h="1" x="281"/>
        <item h="1" x="251"/>
        <item h="1" x="99"/>
        <item h="1" x="221"/>
        <item h="1" x="343"/>
        <item h="1" x="39"/>
        <item h="1" x="8"/>
        <item h="1" x="190"/>
        <item h="1" x="160"/>
        <item h="1" x="68"/>
        <item h="1" x="129"/>
        <item h="1" x="313"/>
        <item h="1" x="282"/>
        <item h="1" x="252"/>
        <item h="1" x="100"/>
        <item h="1" x="222"/>
        <item h="1" x="344"/>
        <item h="1" x="40"/>
        <item h="1" x="9"/>
        <item h="1" x="191"/>
        <item h="1" x="161"/>
        <item h="1" x="69"/>
        <item h="1" x="130"/>
        <item h="1" x="314"/>
        <item h="1" x="283"/>
        <item h="1" x="25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axis="axisRow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25"/>
    <field x="24"/>
    <field x="1"/>
  </rowFields>
  <rowItems count="4">
    <i>
      <x/>
    </i>
    <i r="1">
      <x/>
    </i>
    <i r="2">
      <x/>
    </i>
    <i t="grand">
      <x/>
    </i>
  </rowItems>
  <colItems count="1">
    <i/>
  </colItems>
  <dataFields count="1">
    <dataField name="Average of Risk" fld="4" subtotal="average" baseField="22" baseItem="1"/>
  </dataFields>
  <formats count="1">
    <format dxfId="10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P4:BP5" firstHeaderRow="1" firstDataRow="1" firstDataCol="0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Items count="1">
    <i/>
  </colItems>
  <dataFields count="1">
    <dataField name="Min of PnL %" fld="20" subtotal="min" baseField="22" baseItem="2"/>
  </dataFields>
  <formats count="2">
    <format dxfId="108">
      <pivotArea dataOnly="0" labelOnly="1" outline="0" axis="axisValues" fieldPosition="0"/>
    </format>
    <format dxfId="10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U4:AV6" firstHeaderRow="1" firstDataRow="1" firstDataCol="1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h="1" x="1"/>
        <item h="1" m="1" x="2"/>
        <item x="0"/>
        <item t="default"/>
      </items>
    </pivotField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2"/>
  </rowFields>
  <rowItems count="2">
    <i>
      <x v="2"/>
    </i>
    <i t="grand">
      <x/>
    </i>
  </rowItems>
  <colItems count="1">
    <i/>
  </colItems>
  <dataFields count="1">
    <dataField name="Max of PnL %" fld="20" subtotal="max" baseField="22" baseItem="0"/>
  </dataFields>
  <formats count="2">
    <format dxfId="110">
      <pivotArea dataOnly="0" labelOnly="1" outline="0" axis="axisValues" fieldPosition="0"/>
    </format>
    <format dxfId="10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L4:BL5" firstHeaderRow="1" firstDataRow="1" firstDataCol="0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Items count="1">
    <i/>
  </colItems>
  <dataFields count="1">
    <dataField name="Min of PnL %" fld="20" subtotal="min" baseField="22" baseItem="2"/>
  </dataFields>
  <formats count="2">
    <format dxfId="112">
      <pivotArea dataOnly="0" labelOnly="1" outline="0" axis="axisValues" fieldPosition="0"/>
    </format>
    <format dxfId="1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26">
    <pivotField showAll="0"/>
    <pivotField axis="axisRow" numFmtId="14" showAll="0" sortType="ascending">
      <items count="369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axis="axisRow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25"/>
    <field x="24"/>
    <field x="1"/>
  </rowFields>
  <rowItems count="4">
    <i>
      <x/>
    </i>
    <i r="1">
      <x/>
    </i>
    <i r="2">
      <x/>
    </i>
    <i t="grand">
      <x/>
    </i>
  </rowItems>
  <colItems count="1">
    <i/>
  </colItems>
  <dataFields count="1">
    <dataField name="Average of Winrate" fld="17" subtotal="average" baseField="23" baseItem="1" numFmtId="9"/>
  </dataFields>
  <formats count="1">
    <format dxfId="1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2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L4:AM6" firstHeaderRow="1" firstDataRow="1" firstDataCol="1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axis="axisRow" outline="0" showAll="0" sortType="ascending">
      <items count="23">
        <item h="1" x="1"/>
        <item m="1" x="19"/>
        <item m="1" x="4"/>
        <item m="1" x="9"/>
        <item x="2"/>
        <item m="1" x="17"/>
        <item m="1" x="15"/>
        <item m="1" x="20"/>
        <item m="1" x="10"/>
        <item m="1" x="3"/>
        <item m="1" x="6"/>
        <item m="1" x="18"/>
        <item m="1" x="5"/>
        <item m="1" x="7"/>
        <item m="1" x="16"/>
        <item m="1" x="8"/>
        <item m="1" x="14"/>
        <item m="1" x="12"/>
        <item h="1" m="1" x="11"/>
        <item h="1" m="1" x="13"/>
        <item h="1" m="1" x="2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2">
    <i>
      <x v="4"/>
    </i>
    <i t="grand">
      <x/>
    </i>
  </rowItems>
  <colItems count="1">
    <i/>
  </colItems>
  <dataFields count="1">
    <dataField name="Average of PnL %" fld="20" subtotal="average" baseField="3" baseItem="0" numFmtId="9"/>
  </dataFields>
  <formats count="17">
    <format dxfId="82">
      <pivotArea outline="0" collapsedLevelsAreSubtotals="1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3" type="button" dataOnly="0" labelOnly="1" outline="0" axis="axisRow" fieldPosition="0"/>
    </format>
    <format dxfId="78">
      <pivotArea dataOnly="0" labelOnly="1" grandRow="1" outline="0" fieldPosition="0"/>
    </format>
    <format dxfId="77">
      <pivotArea dataOnly="0" labelOnly="1" outline="0" axis="axisValues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3" type="button" dataOnly="0" labelOnly="1" outline="0" axis="axisRow" fieldPosition="0"/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3" type="button" dataOnly="0" labelOnly="1" outline="0" axis="axisRow" fieldPosition="0"/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D4:BD5" firstHeaderRow="1" firstDataRow="1" firstDataCol="0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Items count="1">
    <i/>
  </colItems>
  <dataFields count="1">
    <dataField name="Min of PnL %" fld="20" subtotal="min" baseField="22" baseItem="2"/>
  </dataFields>
  <formats count="2">
    <format dxfId="84">
      <pivotArea dataOnly="0" labelOnly="1" outline="0" axis="axisValues" fieldPosition="0"/>
    </format>
    <format dxfId="8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1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4:O5" firstHeaderRow="1" firstDataRow="1" firstDataCol="0"/>
  <pivotFields count="26">
    <pivotField showAll="0"/>
    <pivotField numFmtId="14" showAll="0" sortType="ascending">
      <items count="369">
        <item x="0"/>
        <item h="1" x="367"/>
        <item h="1" x="101"/>
        <item h="1" x="223"/>
        <item h="1" x="345"/>
        <item h="1" x="41"/>
        <item h="1" x="10"/>
        <item h="1" x="192"/>
        <item h="1" x="162"/>
        <item h="1" x="70"/>
        <item h="1" x="131"/>
        <item h="1" x="315"/>
        <item h="1" x="284"/>
        <item h="1" x="254"/>
        <item h="1" x="102"/>
        <item h="1" x="224"/>
        <item h="1" x="346"/>
        <item h="1" x="42"/>
        <item h="1" x="11"/>
        <item h="1" x="193"/>
        <item h="1" x="163"/>
        <item h="1" x="71"/>
        <item h="1" x="132"/>
        <item h="1" x="316"/>
        <item h="1" x="285"/>
        <item h="1" x="255"/>
        <item h="1" x="103"/>
        <item h="1" x="225"/>
        <item h="1" x="347"/>
        <item h="1" x="43"/>
        <item h="1" x="12"/>
        <item h="1" x="194"/>
        <item h="1" x="164"/>
        <item h="1" x="72"/>
        <item h="1" x="133"/>
        <item h="1" x="317"/>
        <item h="1" x="286"/>
        <item h="1" x="256"/>
        <item h="1" x="104"/>
        <item h="1" x="226"/>
        <item h="1" x="348"/>
        <item h="1" x="44"/>
        <item h="1" x="13"/>
        <item h="1" x="195"/>
        <item h="1" x="165"/>
        <item h="1" x="73"/>
        <item h="1" x="134"/>
        <item h="1" x="318"/>
        <item h="1" x="287"/>
        <item h="1" x="257"/>
        <item h="1" x="105"/>
        <item h="1" x="227"/>
        <item h="1" x="349"/>
        <item h="1" x="45"/>
        <item h="1" x="14"/>
        <item h="1" x="196"/>
        <item h="1" x="166"/>
        <item h="1" x="74"/>
        <item h="1" x="135"/>
        <item h="1" x="319"/>
        <item h="1" x="288"/>
        <item h="1" x="258"/>
        <item h="1" x="106"/>
        <item h="1" x="228"/>
        <item h="1" x="350"/>
        <item h="1" x="46"/>
        <item h="1" x="15"/>
        <item h="1" x="197"/>
        <item h="1" x="167"/>
        <item h="1" x="75"/>
        <item h="1" x="136"/>
        <item h="1" x="320"/>
        <item h="1" x="289"/>
        <item h="1" x="259"/>
        <item h="1" x="107"/>
        <item h="1" x="229"/>
        <item h="1" x="351"/>
        <item h="1" x="47"/>
        <item h="1" x="16"/>
        <item h="1" x="198"/>
        <item h="1" x="168"/>
        <item h="1" x="76"/>
        <item h="1" x="137"/>
        <item h="1" x="321"/>
        <item h="1" x="290"/>
        <item h="1" x="260"/>
        <item h="1" x="108"/>
        <item h="1" x="230"/>
        <item h="1" x="352"/>
        <item h="1" x="48"/>
        <item h="1" x="17"/>
        <item h="1" x="199"/>
        <item h="1" x="169"/>
        <item h="1" x="77"/>
        <item h="1" x="138"/>
        <item h="1" x="322"/>
        <item h="1" x="291"/>
        <item h="1" x="261"/>
        <item h="1" x="109"/>
        <item h="1" x="231"/>
        <item h="1" x="353"/>
        <item h="1" x="49"/>
        <item h="1" x="18"/>
        <item h="1" x="200"/>
        <item h="1" x="170"/>
        <item h="1" x="78"/>
        <item h="1" x="139"/>
        <item h="1" x="323"/>
        <item h="1" x="292"/>
        <item h="1" x="262"/>
        <item h="1" x="110"/>
        <item h="1" x="232"/>
        <item h="1" x="354"/>
        <item h="1" x="50"/>
        <item h="1" x="19"/>
        <item h="1" x="201"/>
        <item h="1" x="171"/>
        <item h="1" x="79"/>
        <item h="1" x="140"/>
        <item h="1" x="324"/>
        <item h="1" x="293"/>
        <item h="1" x="263"/>
        <item h="1" x="92"/>
        <item h="1" x="214"/>
        <item h="1" x="336"/>
        <item h="1" x="32"/>
        <item h="1" x="1"/>
        <item h="1" x="183"/>
        <item h="1" x="153"/>
        <item h="1" x="61"/>
        <item h="1" x="122"/>
        <item h="1" x="306"/>
        <item h="1" x="275"/>
        <item h="1" x="245"/>
        <item h="1" x="111"/>
        <item h="1" x="233"/>
        <item h="1" x="355"/>
        <item h="1" x="51"/>
        <item h="1" x="20"/>
        <item h="1" x="202"/>
        <item h="1" x="172"/>
        <item h="1" x="80"/>
        <item h="1" x="141"/>
        <item h="1" x="325"/>
        <item h="1" x="294"/>
        <item h="1" x="264"/>
        <item h="1" x="112"/>
        <item h="1" x="234"/>
        <item h="1" x="356"/>
        <item h="1" x="52"/>
        <item h="1" x="21"/>
        <item h="1" x="203"/>
        <item h="1" x="173"/>
        <item h="1" x="81"/>
        <item h="1" x="142"/>
        <item h="1" x="326"/>
        <item h="1" x="295"/>
        <item h="1" x="265"/>
        <item h="1" x="113"/>
        <item h="1" x="235"/>
        <item h="1" x="357"/>
        <item h="1" x="53"/>
        <item h="1" x="22"/>
        <item h="1" x="204"/>
        <item h="1" x="174"/>
        <item h="1" x="82"/>
        <item h="1" x="143"/>
        <item h="1" x="327"/>
        <item h="1" x="296"/>
        <item h="1" x="266"/>
        <item h="1" x="114"/>
        <item h="1" x="236"/>
        <item h="1" x="358"/>
        <item h="1" x="54"/>
        <item h="1" x="23"/>
        <item h="1" x="205"/>
        <item h="1" x="175"/>
        <item h="1" x="83"/>
        <item h="1" x="144"/>
        <item h="1" x="328"/>
        <item h="1" x="297"/>
        <item h="1" x="267"/>
        <item h="1" x="115"/>
        <item h="1" x="237"/>
        <item h="1" x="359"/>
        <item h="1" x="55"/>
        <item h="1" x="24"/>
        <item h="1" x="206"/>
        <item h="1" x="176"/>
        <item h="1" x="84"/>
        <item h="1" x="145"/>
        <item h="1" x="329"/>
        <item h="1" x="298"/>
        <item h="1" x="268"/>
        <item h="1" x="116"/>
        <item h="1" x="238"/>
        <item h="1" x="360"/>
        <item h="1" x="56"/>
        <item h="1" x="25"/>
        <item h="1" x="207"/>
        <item h="1" x="177"/>
        <item h="1" x="85"/>
        <item h="1" x="146"/>
        <item h="1" x="330"/>
        <item h="1" x="299"/>
        <item h="1" x="269"/>
        <item h="1" x="117"/>
        <item h="1" x="239"/>
        <item h="1" x="361"/>
        <item h="1" x="57"/>
        <item h="1" x="26"/>
        <item h="1" x="208"/>
        <item h="1" x="178"/>
        <item h="1" x="86"/>
        <item h="1" x="147"/>
        <item h="1" x="331"/>
        <item h="1" x="300"/>
        <item h="1" x="270"/>
        <item h="1" x="118"/>
        <item h="1" x="240"/>
        <item h="1" x="362"/>
        <item h="1" x="58"/>
        <item h="1" x="27"/>
        <item h="1" x="209"/>
        <item h="1" x="179"/>
        <item h="1" x="87"/>
        <item h="1" x="148"/>
        <item h="1" x="332"/>
        <item h="1" x="301"/>
        <item h="1" x="271"/>
        <item h="1" x="119"/>
        <item h="1" x="241"/>
        <item h="1" x="363"/>
        <item h="1" x="59"/>
        <item h="1" x="28"/>
        <item h="1" x="210"/>
        <item h="1" x="180"/>
        <item h="1" x="88"/>
        <item h="1" x="149"/>
        <item h="1" x="333"/>
        <item h="1" x="302"/>
        <item h="1" x="272"/>
        <item h="1" x="120"/>
        <item h="1" x="242"/>
        <item h="1" x="364"/>
        <item h="1" x="60"/>
        <item h="1" x="29"/>
        <item h="1" x="211"/>
        <item h="1" x="181"/>
        <item h="1" x="89"/>
        <item h="1" x="150"/>
        <item h="1" x="334"/>
        <item h="1" x="303"/>
        <item h="1" x="273"/>
        <item h="1" x="93"/>
        <item h="1" x="215"/>
        <item h="1" x="337"/>
        <item h="1" x="33"/>
        <item h="1" x="2"/>
        <item h="1" x="184"/>
        <item h="1" x="154"/>
        <item h="1" x="62"/>
        <item h="1" x="123"/>
        <item h="1" x="307"/>
        <item h="1" x="276"/>
        <item h="1" x="246"/>
        <item h="1" x="121"/>
        <item h="1" x="243"/>
        <item h="1" x="365"/>
        <item h="1" x="30"/>
        <item h="1" x="212"/>
        <item h="1" x="182"/>
        <item h="1" x="90"/>
        <item h="1" x="151"/>
        <item h="1" x="335"/>
        <item h="1" x="304"/>
        <item h="1" x="274"/>
        <item h="1" x="244"/>
        <item h="1" x="366"/>
        <item h="1" x="31"/>
        <item h="1" x="213"/>
        <item h="1" x="91"/>
        <item h="1" x="152"/>
        <item h="1" x="305"/>
        <item h="1" x="94"/>
        <item h="1" x="216"/>
        <item h="1" x="338"/>
        <item h="1" x="34"/>
        <item h="1" x="3"/>
        <item h="1" x="185"/>
        <item h="1" x="155"/>
        <item h="1" x="63"/>
        <item h="1" x="124"/>
        <item h="1" x="308"/>
        <item h="1" x="277"/>
        <item h="1" x="247"/>
        <item h="1" x="95"/>
        <item h="1" x="217"/>
        <item h="1" x="339"/>
        <item h="1" x="35"/>
        <item h="1" x="4"/>
        <item h="1" x="186"/>
        <item h="1" x="156"/>
        <item h="1" x="64"/>
        <item h="1" x="125"/>
        <item h="1" x="309"/>
        <item h="1" x="278"/>
        <item h="1" x="248"/>
        <item h="1" x="96"/>
        <item h="1" x="218"/>
        <item h="1" x="340"/>
        <item h="1" x="36"/>
        <item h="1" x="5"/>
        <item h="1" x="187"/>
        <item h="1" x="157"/>
        <item h="1" x="65"/>
        <item h="1" x="126"/>
        <item h="1" x="310"/>
        <item h="1" x="279"/>
        <item h="1" x="249"/>
        <item h="1" x="97"/>
        <item h="1" x="219"/>
        <item h="1" x="341"/>
        <item h="1" x="37"/>
        <item h="1" x="6"/>
        <item h="1" x="188"/>
        <item h="1" x="158"/>
        <item h="1" x="66"/>
        <item h="1" x="127"/>
        <item h="1" x="311"/>
        <item h="1" x="280"/>
        <item h="1" x="250"/>
        <item h="1" x="98"/>
        <item h="1" x="220"/>
        <item h="1" x="342"/>
        <item h="1" x="38"/>
        <item h="1" x="7"/>
        <item h="1" x="189"/>
        <item h="1" x="159"/>
        <item h="1" x="67"/>
        <item h="1" x="128"/>
        <item h="1" x="312"/>
        <item h="1" x="281"/>
        <item h="1" x="251"/>
        <item h="1" x="99"/>
        <item h="1" x="221"/>
        <item h="1" x="343"/>
        <item h="1" x="39"/>
        <item h="1" x="8"/>
        <item h="1" x="190"/>
        <item h="1" x="160"/>
        <item h="1" x="68"/>
        <item h="1" x="129"/>
        <item h="1" x="313"/>
        <item h="1" x="282"/>
        <item h="1" x="252"/>
        <item h="1" x="100"/>
        <item h="1" x="222"/>
        <item h="1" x="344"/>
        <item h="1" x="40"/>
        <item h="1" x="9"/>
        <item h="1" x="191"/>
        <item h="1" x="161"/>
        <item h="1" x="69"/>
        <item h="1" x="130"/>
        <item h="1" x="314"/>
        <item h="1" x="283"/>
        <item h="1" x="25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Items count="1">
    <i/>
  </colItems>
  <dataFields count="1">
    <dataField name="Count of Entry" fld="6" subtotal="count" baseField="0" baseItem="9"/>
  </dataFields>
  <formats count="3">
    <format dxfId="87">
      <pivotArea grandRow="1" outline="0" collapsedLevelsAreSubtotals="1" fieldPosition="0"/>
    </format>
    <format dxfId="86">
      <pivotArea outline="0" collapsedLevelsAreSubtotals="1" fieldPosition="0"/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H4:BI6" firstHeaderRow="1" firstDataRow="1" firstDataCol="1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6">
        <item h="1" x="1"/>
        <item x="0"/>
        <item m="1" x="3"/>
        <item m="1" x="4"/>
        <item m="1" x="2"/>
        <item t="default"/>
      </items>
    </pivotField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1"/>
  </rowFields>
  <rowItems count="2">
    <i>
      <x v="1"/>
    </i>
    <i t="grand">
      <x/>
    </i>
  </rowItems>
  <colItems count="1">
    <i/>
  </colItems>
  <dataFields count="1">
    <dataField name="Count of Hit" fld="21" subtotal="count" baseField="0" baseItem="0"/>
  </dataFields>
  <formats count="2">
    <format dxfId="89">
      <pivotArea dataOnly="0" labelOnly="1" outline="0" axis="axisValues" fieldPosition="0"/>
    </format>
    <format dxfId="8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Q4:AR4001" firstHeaderRow="1" firstDataRow="1" firstDataCol="1"/>
  <pivotFields count="26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axis="axisRow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4">
    <field x="0"/>
    <field x="25"/>
    <field x="24"/>
    <field x="1"/>
  </rowFields>
  <rowItems count="3997">
    <i>
      <x v="1"/>
    </i>
    <i r="1">
      <x/>
    </i>
    <i r="2">
      <x/>
    </i>
    <i r="3">
      <x/>
    </i>
    <i>
      <x v="2"/>
    </i>
    <i r="1">
      <x/>
    </i>
    <i r="2">
      <x/>
    </i>
    <i r="3">
      <x/>
    </i>
    <i>
      <x v="3"/>
    </i>
    <i r="1">
      <x/>
    </i>
    <i r="2">
      <x/>
    </i>
    <i r="3">
      <x/>
    </i>
    <i>
      <x v="4"/>
    </i>
    <i r="1">
      <x/>
    </i>
    <i r="2">
      <x/>
    </i>
    <i r="3">
      <x/>
    </i>
    <i>
      <x v="5"/>
    </i>
    <i r="1">
      <x/>
    </i>
    <i r="2">
      <x/>
    </i>
    <i r="3">
      <x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/>
    </i>
    <i r="3">
      <x/>
    </i>
    <i>
      <x v="9"/>
    </i>
    <i r="1">
      <x/>
    </i>
    <i r="2">
      <x/>
    </i>
    <i r="3">
      <x/>
    </i>
    <i>
      <x v="10"/>
    </i>
    <i r="1">
      <x/>
    </i>
    <i r="2">
      <x/>
    </i>
    <i r="3">
      <x/>
    </i>
    <i>
      <x v="11"/>
    </i>
    <i r="1">
      <x/>
    </i>
    <i r="2">
      <x/>
    </i>
    <i r="3">
      <x/>
    </i>
    <i>
      <x v="12"/>
    </i>
    <i r="1">
      <x/>
    </i>
    <i r="2">
      <x/>
    </i>
    <i r="3">
      <x/>
    </i>
    <i>
      <x v="13"/>
    </i>
    <i r="1">
      <x/>
    </i>
    <i r="2">
      <x/>
    </i>
    <i r="3">
      <x/>
    </i>
    <i>
      <x v="14"/>
    </i>
    <i r="1">
      <x/>
    </i>
    <i r="2">
      <x/>
    </i>
    <i r="3">
      <x/>
    </i>
    <i>
      <x v="15"/>
    </i>
    <i r="1">
      <x/>
    </i>
    <i r="2">
      <x/>
    </i>
    <i r="3">
      <x/>
    </i>
    <i>
      <x v="16"/>
    </i>
    <i r="1">
      <x/>
    </i>
    <i r="2">
      <x/>
    </i>
    <i r="3">
      <x/>
    </i>
    <i>
      <x v="17"/>
    </i>
    <i r="1">
      <x/>
    </i>
    <i r="2">
      <x/>
    </i>
    <i r="3">
      <x/>
    </i>
    <i>
      <x v="18"/>
    </i>
    <i r="1">
      <x/>
    </i>
    <i r="2">
      <x/>
    </i>
    <i r="3">
      <x/>
    </i>
    <i>
      <x v="19"/>
    </i>
    <i r="1">
      <x/>
    </i>
    <i r="2">
      <x/>
    </i>
    <i r="3">
      <x/>
    </i>
    <i>
      <x v="20"/>
    </i>
    <i r="1">
      <x/>
    </i>
    <i r="2">
      <x/>
    </i>
    <i r="3">
      <x/>
    </i>
    <i>
      <x v="21"/>
    </i>
    <i r="1">
      <x/>
    </i>
    <i r="2">
      <x/>
    </i>
    <i r="3">
      <x/>
    </i>
    <i>
      <x v="22"/>
    </i>
    <i r="1">
      <x/>
    </i>
    <i r="2">
      <x/>
    </i>
    <i r="3">
      <x/>
    </i>
    <i>
      <x v="23"/>
    </i>
    <i r="1">
      <x/>
    </i>
    <i r="2">
      <x/>
    </i>
    <i r="3">
      <x/>
    </i>
    <i>
      <x v="24"/>
    </i>
    <i r="1">
      <x/>
    </i>
    <i r="2">
      <x/>
    </i>
    <i r="3">
      <x/>
    </i>
    <i>
      <x v="25"/>
    </i>
    <i r="1">
      <x/>
    </i>
    <i r="2">
      <x/>
    </i>
    <i r="3">
      <x/>
    </i>
    <i>
      <x v="26"/>
    </i>
    <i r="1">
      <x/>
    </i>
    <i r="2">
      <x/>
    </i>
    <i r="3">
      <x/>
    </i>
    <i>
      <x v="27"/>
    </i>
    <i r="1">
      <x/>
    </i>
    <i r="2">
      <x/>
    </i>
    <i r="3">
      <x/>
    </i>
    <i>
      <x v="28"/>
    </i>
    <i r="1">
      <x/>
    </i>
    <i r="2">
      <x/>
    </i>
    <i r="3">
      <x/>
    </i>
    <i>
      <x v="29"/>
    </i>
    <i r="1">
      <x/>
    </i>
    <i r="2">
      <x/>
    </i>
    <i r="3">
      <x/>
    </i>
    <i>
      <x v="30"/>
    </i>
    <i r="1">
      <x/>
    </i>
    <i r="2">
      <x/>
    </i>
    <i r="3">
      <x/>
    </i>
    <i>
      <x v="31"/>
    </i>
    <i r="1">
      <x/>
    </i>
    <i r="2">
      <x/>
    </i>
    <i r="3">
      <x/>
    </i>
    <i>
      <x v="32"/>
    </i>
    <i r="1">
      <x/>
    </i>
    <i r="2">
      <x/>
    </i>
    <i r="3">
      <x/>
    </i>
    <i>
      <x v="33"/>
    </i>
    <i r="1">
      <x/>
    </i>
    <i r="2">
      <x/>
    </i>
    <i r="3">
      <x/>
    </i>
    <i>
      <x v="34"/>
    </i>
    <i r="1">
      <x/>
    </i>
    <i r="2">
      <x/>
    </i>
    <i r="3">
      <x/>
    </i>
    <i>
      <x v="35"/>
    </i>
    <i r="1">
      <x/>
    </i>
    <i r="2">
      <x/>
    </i>
    <i r="3">
      <x/>
    </i>
    <i>
      <x v="36"/>
    </i>
    <i r="1">
      <x/>
    </i>
    <i r="2">
      <x/>
    </i>
    <i r="3">
      <x/>
    </i>
    <i>
      <x v="37"/>
    </i>
    <i r="1">
      <x/>
    </i>
    <i r="2">
      <x/>
    </i>
    <i r="3">
      <x/>
    </i>
    <i>
      <x v="38"/>
    </i>
    <i r="1">
      <x/>
    </i>
    <i r="2">
      <x/>
    </i>
    <i r="3">
      <x/>
    </i>
    <i>
      <x v="39"/>
    </i>
    <i r="1">
      <x/>
    </i>
    <i r="2">
      <x/>
    </i>
    <i r="3">
      <x/>
    </i>
    <i>
      <x v="40"/>
    </i>
    <i r="1">
      <x/>
    </i>
    <i r="2">
      <x/>
    </i>
    <i r="3">
      <x/>
    </i>
    <i>
      <x v="41"/>
    </i>
    <i r="1">
      <x/>
    </i>
    <i r="2">
      <x/>
    </i>
    <i r="3">
      <x/>
    </i>
    <i>
      <x v="42"/>
    </i>
    <i r="1">
      <x/>
    </i>
    <i r="2">
      <x/>
    </i>
    <i r="3">
      <x/>
    </i>
    <i>
      <x v="43"/>
    </i>
    <i r="1">
      <x/>
    </i>
    <i r="2">
      <x/>
    </i>
    <i r="3">
      <x/>
    </i>
    <i>
      <x v="44"/>
    </i>
    <i r="1">
      <x/>
    </i>
    <i r="2">
      <x/>
    </i>
    <i r="3">
      <x/>
    </i>
    <i>
      <x v="45"/>
    </i>
    <i r="1">
      <x/>
    </i>
    <i r="2">
      <x/>
    </i>
    <i r="3">
      <x/>
    </i>
    <i>
      <x v="46"/>
    </i>
    <i r="1">
      <x/>
    </i>
    <i r="2">
      <x/>
    </i>
    <i r="3">
      <x/>
    </i>
    <i>
      <x v="47"/>
    </i>
    <i r="1">
      <x/>
    </i>
    <i r="2">
      <x/>
    </i>
    <i r="3">
      <x/>
    </i>
    <i>
      <x v="48"/>
    </i>
    <i r="1">
      <x/>
    </i>
    <i r="2">
      <x/>
    </i>
    <i r="3">
      <x/>
    </i>
    <i>
      <x v="49"/>
    </i>
    <i r="1">
      <x/>
    </i>
    <i r="2">
      <x/>
    </i>
    <i r="3">
      <x/>
    </i>
    <i>
      <x v="50"/>
    </i>
    <i r="1">
      <x/>
    </i>
    <i r="2">
      <x/>
    </i>
    <i r="3">
      <x/>
    </i>
    <i>
      <x v="51"/>
    </i>
    <i r="1">
      <x/>
    </i>
    <i r="2">
      <x/>
    </i>
    <i r="3">
      <x/>
    </i>
    <i>
      <x v="52"/>
    </i>
    <i r="1">
      <x/>
    </i>
    <i r="2">
      <x/>
    </i>
    <i r="3">
      <x/>
    </i>
    <i>
      <x v="53"/>
    </i>
    <i r="1">
      <x/>
    </i>
    <i r="2">
      <x/>
    </i>
    <i r="3">
      <x/>
    </i>
    <i>
      <x v="54"/>
    </i>
    <i r="1">
      <x/>
    </i>
    <i r="2">
      <x/>
    </i>
    <i r="3">
      <x/>
    </i>
    <i>
      <x v="55"/>
    </i>
    <i r="1">
      <x/>
    </i>
    <i r="2">
      <x/>
    </i>
    <i r="3">
      <x/>
    </i>
    <i>
      <x v="56"/>
    </i>
    <i r="1">
      <x/>
    </i>
    <i r="2">
      <x/>
    </i>
    <i r="3">
      <x/>
    </i>
    <i>
      <x v="57"/>
    </i>
    <i r="1">
      <x/>
    </i>
    <i r="2">
      <x/>
    </i>
    <i r="3">
      <x/>
    </i>
    <i>
      <x v="58"/>
    </i>
    <i r="1">
      <x/>
    </i>
    <i r="2">
      <x/>
    </i>
    <i r="3">
      <x/>
    </i>
    <i>
      <x v="59"/>
    </i>
    <i r="1">
      <x/>
    </i>
    <i r="2">
      <x/>
    </i>
    <i r="3">
      <x/>
    </i>
    <i>
      <x v="60"/>
    </i>
    <i r="1">
      <x/>
    </i>
    <i r="2">
      <x/>
    </i>
    <i r="3">
      <x/>
    </i>
    <i>
      <x v="61"/>
    </i>
    <i r="1">
      <x/>
    </i>
    <i r="2">
      <x/>
    </i>
    <i r="3">
      <x/>
    </i>
    <i>
      <x v="62"/>
    </i>
    <i r="1">
      <x/>
    </i>
    <i r="2">
      <x/>
    </i>
    <i r="3">
      <x/>
    </i>
    <i>
      <x v="63"/>
    </i>
    <i r="1">
      <x/>
    </i>
    <i r="2">
      <x/>
    </i>
    <i r="3">
      <x/>
    </i>
    <i>
      <x v="64"/>
    </i>
    <i r="1">
      <x/>
    </i>
    <i r="2">
      <x/>
    </i>
    <i r="3">
      <x/>
    </i>
    <i>
      <x v="65"/>
    </i>
    <i r="1">
      <x/>
    </i>
    <i r="2">
      <x/>
    </i>
    <i r="3">
      <x/>
    </i>
    <i>
      <x v="66"/>
    </i>
    <i r="1">
      <x/>
    </i>
    <i r="2">
      <x/>
    </i>
    <i r="3">
      <x/>
    </i>
    <i>
      <x v="67"/>
    </i>
    <i r="1">
      <x/>
    </i>
    <i r="2">
      <x/>
    </i>
    <i r="3">
      <x/>
    </i>
    <i>
      <x v="68"/>
    </i>
    <i r="1">
      <x/>
    </i>
    <i r="2">
      <x/>
    </i>
    <i r="3">
      <x/>
    </i>
    <i>
      <x v="69"/>
    </i>
    <i r="1">
      <x/>
    </i>
    <i r="2">
      <x/>
    </i>
    <i r="3">
      <x/>
    </i>
    <i>
      <x v="70"/>
    </i>
    <i r="1">
      <x/>
    </i>
    <i r="2">
      <x/>
    </i>
    <i r="3">
      <x/>
    </i>
    <i>
      <x v="71"/>
    </i>
    <i r="1">
      <x/>
    </i>
    <i r="2">
      <x/>
    </i>
    <i r="3">
      <x/>
    </i>
    <i>
      <x v="72"/>
    </i>
    <i r="1">
      <x/>
    </i>
    <i r="2">
      <x/>
    </i>
    <i r="3">
      <x/>
    </i>
    <i>
      <x v="73"/>
    </i>
    <i r="1">
      <x/>
    </i>
    <i r="2">
      <x/>
    </i>
    <i r="3">
      <x/>
    </i>
    <i>
      <x v="74"/>
    </i>
    <i r="1">
      <x/>
    </i>
    <i r="2">
      <x/>
    </i>
    <i r="3">
      <x/>
    </i>
    <i>
      <x v="75"/>
    </i>
    <i r="1">
      <x/>
    </i>
    <i r="2">
      <x/>
    </i>
    <i r="3">
      <x/>
    </i>
    <i>
      <x v="76"/>
    </i>
    <i r="1">
      <x/>
    </i>
    <i r="2">
      <x/>
    </i>
    <i r="3">
      <x/>
    </i>
    <i>
      <x v="77"/>
    </i>
    <i r="1">
      <x/>
    </i>
    <i r="2">
      <x/>
    </i>
    <i r="3">
      <x/>
    </i>
    <i>
      <x v="78"/>
    </i>
    <i r="1">
      <x/>
    </i>
    <i r="2">
      <x/>
    </i>
    <i r="3">
      <x/>
    </i>
    <i>
      <x v="79"/>
    </i>
    <i r="1">
      <x/>
    </i>
    <i r="2">
      <x/>
    </i>
    <i r="3">
      <x/>
    </i>
    <i>
      <x v="80"/>
    </i>
    <i r="1">
      <x/>
    </i>
    <i r="2">
      <x/>
    </i>
    <i r="3">
      <x/>
    </i>
    <i>
      <x v="81"/>
    </i>
    <i r="1">
      <x/>
    </i>
    <i r="2">
      <x/>
    </i>
    <i r="3">
      <x/>
    </i>
    <i>
      <x v="82"/>
    </i>
    <i r="1">
      <x/>
    </i>
    <i r="2">
      <x/>
    </i>
    <i r="3">
      <x/>
    </i>
    <i>
      <x v="83"/>
    </i>
    <i r="1">
      <x/>
    </i>
    <i r="2">
      <x/>
    </i>
    <i r="3">
      <x/>
    </i>
    <i>
      <x v="84"/>
    </i>
    <i r="1">
      <x/>
    </i>
    <i r="2">
      <x/>
    </i>
    <i r="3">
      <x/>
    </i>
    <i>
      <x v="85"/>
    </i>
    <i r="1">
      <x/>
    </i>
    <i r="2">
      <x/>
    </i>
    <i r="3">
      <x/>
    </i>
    <i>
      <x v="86"/>
    </i>
    <i r="1">
      <x/>
    </i>
    <i r="2">
      <x/>
    </i>
    <i r="3">
      <x/>
    </i>
    <i>
      <x v="87"/>
    </i>
    <i r="1">
      <x/>
    </i>
    <i r="2">
      <x/>
    </i>
    <i r="3">
      <x/>
    </i>
    <i>
      <x v="88"/>
    </i>
    <i r="1">
      <x/>
    </i>
    <i r="2">
      <x/>
    </i>
    <i r="3">
      <x/>
    </i>
    <i>
      <x v="89"/>
    </i>
    <i r="1">
      <x/>
    </i>
    <i r="2">
      <x/>
    </i>
    <i r="3">
      <x/>
    </i>
    <i>
      <x v="90"/>
    </i>
    <i r="1">
      <x/>
    </i>
    <i r="2">
      <x/>
    </i>
    <i r="3">
      <x/>
    </i>
    <i>
      <x v="91"/>
    </i>
    <i r="1">
      <x/>
    </i>
    <i r="2">
      <x/>
    </i>
    <i r="3">
      <x/>
    </i>
    <i>
      <x v="92"/>
    </i>
    <i r="1">
      <x/>
    </i>
    <i r="2">
      <x/>
    </i>
    <i r="3">
      <x/>
    </i>
    <i>
      <x v="93"/>
    </i>
    <i r="1">
      <x/>
    </i>
    <i r="2">
      <x/>
    </i>
    <i r="3">
      <x/>
    </i>
    <i>
      <x v="94"/>
    </i>
    <i r="1">
      <x/>
    </i>
    <i r="2">
      <x/>
    </i>
    <i r="3">
      <x/>
    </i>
    <i>
      <x v="95"/>
    </i>
    <i r="1">
      <x/>
    </i>
    <i r="2">
      <x/>
    </i>
    <i r="3">
      <x/>
    </i>
    <i>
      <x v="96"/>
    </i>
    <i r="1">
      <x/>
    </i>
    <i r="2">
      <x/>
    </i>
    <i r="3">
      <x/>
    </i>
    <i>
      <x v="97"/>
    </i>
    <i r="1">
      <x/>
    </i>
    <i r="2">
      <x/>
    </i>
    <i r="3">
      <x/>
    </i>
    <i>
      <x v="98"/>
    </i>
    <i r="1">
      <x/>
    </i>
    <i r="2">
      <x/>
    </i>
    <i r="3">
      <x/>
    </i>
    <i>
      <x v="99"/>
    </i>
    <i r="1">
      <x/>
    </i>
    <i r="2">
      <x/>
    </i>
    <i r="3">
      <x/>
    </i>
    <i>
      <x v="100"/>
    </i>
    <i r="1">
      <x/>
    </i>
    <i r="2">
      <x/>
    </i>
    <i r="3">
      <x/>
    </i>
    <i>
      <x v="101"/>
    </i>
    <i r="1">
      <x/>
    </i>
    <i r="2">
      <x/>
    </i>
    <i r="3">
      <x/>
    </i>
    <i>
      <x v="102"/>
    </i>
    <i r="1">
      <x/>
    </i>
    <i r="2">
      <x/>
    </i>
    <i r="3">
      <x/>
    </i>
    <i>
      <x v="103"/>
    </i>
    <i r="1">
      <x/>
    </i>
    <i r="2">
      <x/>
    </i>
    <i r="3">
      <x/>
    </i>
    <i>
      <x v="104"/>
    </i>
    <i r="1">
      <x/>
    </i>
    <i r="2">
      <x/>
    </i>
    <i r="3">
      <x/>
    </i>
    <i>
      <x v="105"/>
    </i>
    <i r="1">
      <x/>
    </i>
    <i r="2">
      <x/>
    </i>
    <i r="3">
      <x/>
    </i>
    <i>
      <x v="106"/>
    </i>
    <i r="1">
      <x/>
    </i>
    <i r="2">
      <x/>
    </i>
    <i r="3">
      <x/>
    </i>
    <i>
      <x v="107"/>
    </i>
    <i r="1">
      <x/>
    </i>
    <i r="2">
      <x/>
    </i>
    <i r="3">
      <x/>
    </i>
    <i>
      <x v="108"/>
    </i>
    <i r="1">
      <x/>
    </i>
    <i r="2">
      <x/>
    </i>
    <i r="3">
      <x/>
    </i>
    <i>
      <x v="109"/>
    </i>
    <i r="1">
      <x/>
    </i>
    <i r="2">
      <x/>
    </i>
    <i r="3">
      <x/>
    </i>
    <i>
      <x v="110"/>
    </i>
    <i r="1">
      <x/>
    </i>
    <i r="2">
      <x/>
    </i>
    <i r="3">
      <x/>
    </i>
    <i>
      <x v="111"/>
    </i>
    <i r="1">
      <x/>
    </i>
    <i r="2">
      <x/>
    </i>
    <i r="3">
      <x/>
    </i>
    <i>
      <x v="112"/>
    </i>
    <i r="1">
      <x/>
    </i>
    <i r="2">
      <x/>
    </i>
    <i r="3">
      <x/>
    </i>
    <i>
      <x v="113"/>
    </i>
    <i r="1">
      <x/>
    </i>
    <i r="2">
      <x/>
    </i>
    <i r="3">
      <x/>
    </i>
    <i>
      <x v="114"/>
    </i>
    <i r="1">
      <x/>
    </i>
    <i r="2">
      <x/>
    </i>
    <i r="3">
      <x/>
    </i>
    <i>
      <x v="115"/>
    </i>
    <i r="1">
      <x/>
    </i>
    <i r="2">
      <x/>
    </i>
    <i r="3">
      <x/>
    </i>
    <i>
      <x v="116"/>
    </i>
    <i r="1">
      <x/>
    </i>
    <i r="2">
      <x/>
    </i>
    <i r="3">
      <x/>
    </i>
    <i>
      <x v="117"/>
    </i>
    <i r="1">
      <x/>
    </i>
    <i r="2">
      <x/>
    </i>
    <i r="3">
      <x/>
    </i>
    <i>
      <x v="118"/>
    </i>
    <i r="1">
      <x/>
    </i>
    <i r="2">
      <x/>
    </i>
    <i r="3">
      <x/>
    </i>
    <i>
      <x v="119"/>
    </i>
    <i r="1">
      <x/>
    </i>
    <i r="2">
      <x/>
    </i>
    <i r="3">
      <x/>
    </i>
    <i>
      <x v="120"/>
    </i>
    <i r="1">
      <x/>
    </i>
    <i r="2">
      <x/>
    </i>
    <i r="3">
      <x/>
    </i>
    <i>
      <x v="121"/>
    </i>
    <i r="1">
      <x/>
    </i>
    <i r="2">
      <x/>
    </i>
    <i r="3">
      <x/>
    </i>
    <i>
      <x v="122"/>
    </i>
    <i r="1">
      <x/>
    </i>
    <i r="2">
      <x/>
    </i>
    <i r="3">
      <x/>
    </i>
    <i>
      <x v="123"/>
    </i>
    <i r="1">
      <x/>
    </i>
    <i r="2">
      <x/>
    </i>
    <i r="3">
      <x/>
    </i>
    <i>
      <x v="124"/>
    </i>
    <i r="1">
      <x/>
    </i>
    <i r="2">
      <x/>
    </i>
    <i r="3">
      <x/>
    </i>
    <i>
      <x v="125"/>
    </i>
    <i r="1">
      <x/>
    </i>
    <i r="2">
      <x/>
    </i>
    <i r="3">
      <x/>
    </i>
    <i>
      <x v="126"/>
    </i>
    <i r="1">
      <x/>
    </i>
    <i r="2">
      <x/>
    </i>
    <i r="3">
      <x/>
    </i>
    <i>
      <x v="127"/>
    </i>
    <i r="1">
      <x/>
    </i>
    <i r="2">
      <x/>
    </i>
    <i r="3">
      <x/>
    </i>
    <i>
      <x v="128"/>
    </i>
    <i r="1">
      <x/>
    </i>
    <i r="2">
      <x/>
    </i>
    <i r="3">
      <x/>
    </i>
    <i>
      <x v="129"/>
    </i>
    <i r="1">
      <x/>
    </i>
    <i r="2">
      <x/>
    </i>
    <i r="3">
      <x/>
    </i>
    <i>
      <x v="130"/>
    </i>
    <i r="1">
      <x/>
    </i>
    <i r="2">
      <x/>
    </i>
    <i r="3">
      <x/>
    </i>
    <i>
      <x v="131"/>
    </i>
    <i r="1">
      <x/>
    </i>
    <i r="2">
      <x/>
    </i>
    <i r="3">
      <x/>
    </i>
    <i>
      <x v="132"/>
    </i>
    <i r="1">
      <x/>
    </i>
    <i r="2">
      <x/>
    </i>
    <i r="3">
      <x/>
    </i>
    <i>
      <x v="133"/>
    </i>
    <i r="1">
      <x/>
    </i>
    <i r="2">
      <x/>
    </i>
    <i r="3">
      <x/>
    </i>
    <i>
      <x v="134"/>
    </i>
    <i r="1">
      <x/>
    </i>
    <i r="2">
      <x/>
    </i>
    <i r="3">
      <x/>
    </i>
    <i>
      <x v="135"/>
    </i>
    <i r="1">
      <x/>
    </i>
    <i r="2">
      <x/>
    </i>
    <i r="3">
      <x/>
    </i>
    <i>
      <x v="136"/>
    </i>
    <i r="1">
      <x/>
    </i>
    <i r="2">
      <x/>
    </i>
    <i r="3">
      <x/>
    </i>
    <i>
      <x v="137"/>
    </i>
    <i r="1">
      <x/>
    </i>
    <i r="2">
      <x/>
    </i>
    <i r="3">
      <x/>
    </i>
    <i>
      <x v="138"/>
    </i>
    <i r="1">
      <x/>
    </i>
    <i r="2">
      <x/>
    </i>
    <i r="3">
      <x/>
    </i>
    <i>
      <x v="139"/>
    </i>
    <i r="1">
      <x/>
    </i>
    <i r="2">
      <x/>
    </i>
    <i r="3">
      <x/>
    </i>
    <i>
      <x v="140"/>
    </i>
    <i r="1">
      <x/>
    </i>
    <i r="2">
      <x/>
    </i>
    <i r="3">
      <x/>
    </i>
    <i>
      <x v="141"/>
    </i>
    <i r="1">
      <x/>
    </i>
    <i r="2">
      <x/>
    </i>
    <i r="3">
      <x/>
    </i>
    <i>
      <x v="142"/>
    </i>
    <i r="1">
      <x/>
    </i>
    <i r="2">
      <x/>
    </i>
    <i r="3">
      <x/>
    </i>
    <i>
      <x v="143"/>
    </i>
    <i r="1">
      <x/>
    </i>
    <i r="2">
      <x/>
    </i>
    <i r="3">
      <x/>
    </i>
    <i>
      <x v="144"/>
    </i>
    <i r="1">
      <x/>
    </i>
    <i r="2">
      <x/>
    </i>
    <i r="3">
      <x/>
    </i>
    <i>
      <x v="145"/>
    </i>
    <i r="1">
      <x/>
    </i>
    <i r="2">
      <x/>
    </i>
    <i r="3">
      <x/>
    </i>
    <i>
      <x v="146"/>
    </i>
    <i r="1">
      <x/>
    </i>
    <i r="2">
      <x/>
    </i>
    <i r="3">
      <x/>
    </i>
    <i>
      <x v="147"/>
    </i>
    <i r="1">
      <x/>
    </i>
    <i r="2">
      <x/>
    </i>
    <i r="3">
      <x/>
    </i>
    <i>
      <x v="148"/>
    </i>
    <i r="1">
      <x/>
    </i>
    <i r="2">
      <x/>
    </i>
    <i r="3">
      <x/>
    </i>
    <i>
      <x v="149"/>
    </i>
    <i r="1">
      <x/>
    </i>
    <i r="2">
      <x/>
    </i>
    <i r="3">
      <x/>
    </i>
    <i>
      <x v="150"/>
    </i>
    <i r="1">
      <x/>
    </i>
    <i r="2">
      <x/>
    </i>
    <i r="3">
      <x/>
    </i>
    <i>
      <x v="151"/>
    </i>
    <i r="1">
      <x/>
    </i>
    <i r="2">
      <x/>
    </i>
    <i r="3">
      <x/>
    </i>
    <i>
      <x v="152"/>
    </i>
    <i r="1">
      <x/>
    </i>
    <i r="2">
      <x/>
    </i>
    <i r="3">
      <x/>
    </i>
    <i>
      <x v="153"/>
    </i>
    <i r="1">
      <x/>
    </i>
    <i r="2">
      <x/>
    </i>
    <i r="3">
      <x/>
    </i>
    <i>
      <x v="154"/>
    </i>
    <i r="1">
      <x/>
    </i>
    <i r="2">
      <x/>
    </i>
    <i r="3">
      <x/>
    </i>
    <i>
      <x v="155"/>
    </i>
    <i r="1">
      <x/>
    </i>
    <i r="2">
      <x/>
    </i>
    <i r="3">
      <x/>
    </i>
    <i>
      <x v="156"/>
    </i>
    <i r="1">
      <x/>
    </i>
    <i r="2">
      <x/>
    </i>
    <i r="3">
      <x/>
    </i>
    <i>
      <x v="157"/>
    </i>
    <i r="1">
      <x/>
    </i>
    <i r="2">
      <x/>
    </i>
    <i r="3">
      <x/>
    </i>
    <i>
      <x v="158"/>
    </i>
    <i r="1">
      <x/>
    </i>
    <i r="2">
      <x/>
    </i>
    <i r="3">
      <x/>
    </i>
    <i>
      <x v="159"/>
    </i>
    <i r="1">
      <x/>
    </i>
    <i r="2">
      <x/>
    </i>
    <i r="3">
      <x/>
    </i>
    <i>
      <x v="160"/>
    </i>
    <i r="1">
      <x/>
    </i>
    <i r="2">
      <x/>
    </i>
    <i r="3">
      <x/>
    </i>
    <i>
      <x v="161"/>
    </i>
    <i r="1">
      <x/>
    </i>
    <i r="2">
      <x/>
    </i>
    <i r="3">
      <x/>
    </i>
    <i>
      <x v="162"/>
    </i>
    <i r="1">
      <x/>
    </i>
    <i r="2">
      <x/>
    </i>
    <i r="3">
      <x/>
    </i>
    <i>
      <x v="163"/>
    </i>
    <i r="1">
      <x/>
    </i>
    <i r="2">
      <x/>
    </i>
    <i r="3">
      <x/>
    </i>
    <i>
      <x v="164"/>
    </i>
    <i r="1">
      <x/>
    </i>
    <i r="2">
      <x/>
    </i>
    <i r="3">
      <x/>
    </i>
    <i>
      <x v="165"/>
    </i>
    <i r="1">
      <x/>
    </i>
    <i r="2">
      <x/>
    </i>
    <i r="3">
      <x/>
    </i>
    <i>
      <x v="166"/>
    </i>
    <i r="1">
      <x/>
    </i>
    <i r="2">
      <x/>
    </i>
    <i r="3">
      <x/>
    </i>
    <i>
      <x v="167"/>
    </i>
    <i r="1">
      <x/>
    </i>
    <i r="2">
      <x/>
    </i>
    <i r="3">
      <x/>
    </i>
    <i>
      <x v="168"/>
    </i>
    <i r="1">
      <x/>
    </i>
    <i r="2">
      <x/>
    </i>
    <i r="3">
      <x/>
    </i>
    <i>
      <x v="169"/>
    </i>
    <i r="1">
      <x/>
    </i>
    <i r="2">
      <x/>
    </i>
    <i r="3">
      <x/>
    </i>
    <i>
      <x v="170"/>
    </i>
    <i r="1">
      <x/>
    </i>
    <i r="2">
      <x/>
    </i>
    <i r="3">
      <x/>
    </i>
    <i>
      <x v="171"/>
    </i>
    <i r="1">
      <x/>
    </i>
    <i r="2">
      <x/>
    </i>
    <i r="3">
      <x/>
    </i>
    <i>
      <x v="172"/>
    </i>
    <i r="1">
      <x/>
    </i>
    <i r="2">
      <x/>
    </i>
    <i r="3">
      <x/>
    </i>
    <i>
      <x v="173"/>
    </i>
    <i r="1">
      <x/>
    </i>
    <i r="2">
      <x/>
    </i>
    <i r="3">
      <x/>
    </i>
    <i>
      <x v="174"/>
    </i>
    <i r="1">
      <x/>
    </i>
    <i r="2">
      <x/>
    </i>
    <i r="3">
      <x/>
    </i>
    <i>
      <x v="175"/>
    </i>
    <i r="1">
      <x/>
    </i>
    <i r="2">
      <x/>
    </i>
    <i r="3">
      <x/>
    </i>
    <i>
      <x v="176"/>
    </i>
    <i r="1">
      <x/>
    </i>
    <i r="2">
      <x/>
    </i>
    <i r="3">
      <x/>
    </i>
    <i>
      <x v="177"/>
    </i>
    <i r="1">
      <x/>
    </i>
    <i r="2">
      <x/>
    </i>
    <i r="3">
      <x/>
    </i>
    <i>
      <x v="178"/>
    </i>
    <i r="1">
      <x/>
    </i>
    <i r="2">
      <x/>
    </i>
    <i r="3">
      <x/>
    </i>
    <i>
      <x v="179"/>
    </i>
    <i r="1">
      <x/>
    </i>
    <i r="2">
      <x/>
    </i>
    <i r="3">
      <x/>
    </i>
    <i>
      <x v="180"/>
    </i>
    <i r="1">
      <x/>
    </i>
    <i r="2">
      <x/>
    </i>
    <i r="3">
      <x/>
    </i>
    <i>
      <x v="181"/>
    </i>
    <i r="1">
      <x/>
    </i>
    <i r="2">
      <x/>
    </i>
    <i r="3">
      <x/>
    </i>
    <i>
      <x v="182"/>
    </i>
    <i r="1">
      <x/>
    </i>
    <i r="2">
      <x/>
    </i>
    <i r="3">
      <x/>
    </i>
    <i>
      <x v="183"/>
    </i>
    <i r="1">
      <x/>
    </i>
    <i r="2">
      <x/>
    </i>
    <i r="3">
      <x/>
    </i>
    <i>
      <x v="184"/>
    </i>
    <i r="1">
      <x/>
    </i>
    <i r="2">
      <x/>
    </i>
    <i r="3">
      <x/>
    </i>
    <i>
      <x v="185"/>
    </i>
    <i r="1">
      <x/>
    </i>
    <i r="2">
      <x/>
    </i>
    <i r="3">
      <x/>
    </i>
    <i>
      <x v="186"/>
    </i>
    <i r="1">
      <x/>
    </i>
    <i r="2">
      <x/>
    </i>
    <i r="3">
      <x/>
    </i>
    <i>
      <x v="187"/>
    </i>
    <i r="1">
      <x/>
    </i>
    <i r="2">
      <x/>
    </i>
    <i r="3">
      <x/>
    </i>
    <i>
      <x v="188"/>
    </i>
    <i r="1">
      <x/>
    </i>
    <i r="2">
      <x/>
    </i>
    <i r="3">
      <x/>
    </i>
    <i>
      <x v="189"/>
    </i>
    <i r="1">
      <x/>
    </i>
    <i r="2">
      <x/>
    </i>
    <i r="3">
      <x/>
    </i>
    <i>
      <x v="190"/>
    </i>
    <i r="1">
      <x/>
    </i>
    <i r="2">
      <x/>
    </i>
    <i r="3">
      <x/>
    </i>
    <i>
      <x v="191"/>
    </i>
    <i r="1">
      <x/>
    </i>
    <i r="2">
      <x/>
    </i>
    <i r="3">
      <x/>
    </i>
    <i>
      <x v="192"/>
    </i>
    <i r="1">
      <x/>
    </i>
    <i r="2">
      <x/>
    </i>
    <i r="3">
      <x/>
    </i>
    <i>
      <x v="193"/>
    </i>
    <i r="1">
      <x/>
    </i>
    <i r="2">
      <x/>
    </i>
    <i r="3">
      <x/>
    </i>
    <i>
      <x v="194"/>
    </i>
    <i r="1">
      <x/>
    </i>
    <i r="2">
      <x/>
    </i>
    <i r="3">
      <x/>
    </i>
    <i>
      <x v="195"/>
    </i>
    <i r="1">
      <x/>
    </i>
    <i r="2">
      <x/>
    </i>
    <i r="3">
      <x/>
    </i>
    <i>
      <x v="196"/>
    </i>
    <i r="1">
      <x/>
    </i>
    <i r="2">
      <x/>
    </i>
    <i r="3">
      <x/>
    </i>
    <i>
      <x v="197"/>
    </i>
    <i r="1">
      <x/>
    </i>
    <i r="2">
      <x/>
    </i>
    <i r="3">
      <x/>
    </i>
    <i>
      <x v="198"/>
    </i>
    <i r="1">
      <x/>
    </i>
    <i r="2">
      <x/>
    </i>
    <i r="3">
      <x/>
    </i>
    <i>
      <x v="199"/>
    </i>
    <i r="1">
      <x/>
    </i>
    <i r="2">
      <x/>
    </i>
    <i r="3">
      <x/>
    </i>
    <i>
      <x v="200"/>
    </i>
    <i r="1">
      <x/>
    </i>
    <i r="2">
      <x/>
    </i>
    <i r="3">
      <x/>
    </i>
    <i>
      <x v="201"/>
    </i>
    <i r="1">
      <x/>
    </i>
    <i r="2">
      <x/>
    </i>
    <i r="3">
      <x/>
    </i>
    <i>
      <x v="202"/>
    </i>
    <i r="1">
      <x/>
    </i>
    <i r="2">
      <x/>
    </i>
    <i r="3">
      <x/>
    </i>
    <i>
      <x v="203"/>
    </i>
    <i r="1">
      <x/>
    </i>
    <i r="2">
      <x/>
    </i>
    <i r="3">
      <x/>
    </i>
    <i>
      <x v="204"/>
    </i>
    <i r="1">
      <x/>
    </i>
    <i r="2">
      <x/>
    </i>
    <i r="3">
      <x/>
    </i>
    <i>
      <x v="205"/>
    </i>
    <i r="1">
      <x/>
    </i>
    <i r="2">
      <x/>
    </i>
    <i r="3">
      <x/>
    </i>
    <i>
      <x v="206"/>
    </i>
    <i r="1">
      <x/>
    </i>
    <i r="2">
      <x/>
    </i>
    <i r="3">
      <x/>
    </i>
    <i>
      <x v="207"/>
    </i>
    <i r="1">
      <x/>
    </i>
    <i r="2">
      <x/>
    </i>
    <i r="3">
      <x/>
    </i>
    <i>
      <x v="208"/>
    </i>
    <i r="1">
      <x/>
    </i>
    <i r="2">
      <x/>
    </i>
    <i r="3">
      <x/>
    </i>
    <i>
      <x v="209"/>
    </i>
    <i r="1">
      <x/>
    </i>
    <i r="2">
      <x/>
    </i>
    <i r="3">
      <x/>
    </i>
    <i>
      <x v="210"/>
    </i>
    <i r="1">
      <x/>
    </i>
    <i r="2">
      <x/>
    </i>
    <i r="3">
      <x/>
    </i>
    <i>
      <x v="211"/>
    </i>
    <i r="1">
      <x/>
    </i>
    <i r="2">
      <x/>
    </i>
    <i r="3">
      <x/>
    </i>
    <i>
      <x v="212"/>
    </i>
    <i r="1">
      <x/>
    </i>
    <i r="2">
      <x/>
    </i>
    <i r="3">
      <x/>
    </i>
    <i>
      <x v="213"/>
    </i>
    <i r="1">
      <x/>
    </i>
    <i r="2">
      <x/>
    </i>
    <i r="3">
      <x/>
    </i>
    <i>
      <x v="214"/>
    </i>
    <i r="1">
      <x/>
    </i>
    <i r="2">
      <x/>
    </i>
    <i r="3">
      <x/>
    </i>
    <i>
      <x v="215"/>
    </i>
    <i r="1">
      <x/>
    </i>
    <i r="2">
      <x/>
    </i>
    <i r="3">
      <x/>
    </i>
    <i>
      <x v="216"/>
    </i>
    <i r="1">
      <x/>
    </i>
    <i r="2">
      <x/>
    </i>
    <i r="3">
      <x/>
    </i>
    <i>
      <x v="217"/>
    </i>
    <i r="1">
      <x/>
    </i>
    <i r="2">
      <x/>
    </i>
    <i r="3">
      <x/>
    </i>
    <i>
      <x v="218"/>
    </i>
    <i r="1">
      <x/>
    </i>
    <i r="2">
      <x/>
    </i>
    <i r="3">
      <x/>
    </i>
    <i>
      <x v="219"/>
    </i>
    <i r="1">
      <x/>
    </i>
    <i r="2">
      <x/>
    </i>
    <i r="3">
      <x/>
    </i>
    <i>
      <x v="220"/>
    </i>
    <i r="1">
      <x/>
    </i>
    <i r="2">
      <x/>
    </i>
    <i r="3">
      <x/>
    </i>
    <i>
      <x v="221"/>
    </i>
    <i r="1">
      <x/>
    </i>
    <i r="2">
      <x/>
    </i>
    <i r="3">
      <x/>
    </i>
    <i>
      <x v="222"/>
    </i>
    <i r="1">
      <x/>
    </i>
    <i r="2">
      <x/>
    </i>
    <i r="3">
      <x/>
    </i>
    <i>
      <x v="223"/>
    </i>
    <i r="1">
      <x/>
    </i>
    <i r="2">
      <x/>
    </i>
    <i r="3">
      <x/>
    </i>
    <i>
      <x v="224"/>
    </i>
    <i r="1">
      <x/>
    </i>
    <i r="2">
      <x/>
    </i>
    <i r="3">
      <x/>
    </i>
    <i>
      <x v="225"/>
    </i>
    <i r="1">
      <x/>
    </i>
    <i r="2">
      <x/>
    </i>
    <i r="3">
      <x/>
    </i>
    <i>
      <x v="226"/>
    </i>
    <i r="1">
      <x/>
    </i>
    <i r="2">
      <x/>
    </i>
    <i r="3">
      <x/>
    </i>
    <i>
      <x v="227"/>
    </i>
    <i r="1">
      <x/>
    </i>
    <i r="2">
      <x/>
    </i>
    <i r="3">
      <x/>
    </i>
    <i>
      <x v="228"/>
    </i>
    <i r="1">
      <x/>
    </i>
    <i r="2">
      <x/>
    </i>
    <i r="3">
      <x/>
    </i>
    <i>
      <x v="229"/>
    </i>
    <i r="1">
      <x/>
    </i>
    <i r="2">
      <x/>
    </i>
    <i r="3">
      <x/>
    </i>
    <i>
      <x v="230"/>
    </i>
    <i r="1">
      <x/>
    </i>
    <i r="2">
      <x/>
    </i>
    <i r="3">
      <x/>
    </i>
    <i>
      <x v="231"/>
    </i>
    <i r="1">
      <x/>
    </i>
    <i r="2">
      <x/>
    </i>
    <i r="3">
      <x/>
    </i>
    <i>
      <x v="232"/>
    </i>
    <i r="1">
      <x/>
    </i>
    <i r="2">
      <x/>
    </i>
    <i r="3">
      <x/>
    </i>
    <i>
      <x v="233"/>
    </i>
    <i r="1">
      <x/>
    </i>
    <i r="2">
      <x/>
    </i>
    <i r="3">
      <x/>
    </i>
    <i>
      <x v="234"/>
    </i>
    <i r="1">
      <x/>
    </i>
    <i r="2">
      <x/>
    </i>
    <i r="3">
      <x/>
    </i>
    <i>
      <x v="235"/>
    </i>
    <i r="1">
      <x/>
    </i>
    <i r="2">
      <x/>
    </i>
    <i r="3">
      <x/>
    </i>
    <i>
      <x v="236"/>
    </i>
    <i r="1">
      <x/>
    </i>
    <i r="2">
      <x/>
    </i>
    <i r="3">
      <x/>
    </i>
    <i>
      <x v="237"/>
    </i>
    <i r="1">
      <x/>
    </i>
    <i r="2">
      <x/>
    </i>
    <i r="3">
      <x/>
    </i>
    <i>
      <x v="238"/>
    </i>
    <i r="1">
      <x/>
    </i>
    <i r="2">
      <x/>
    </i>
    <i r="3">
      <x/>
    </i>
    <i>
      <x v="239"/>
    </i>
    <i r="1">
      <x/>
    </i>
    <i r="2">
      <x/>
    </i>
    <i r="3">
      <x/>
    </i>
    <i>
      <x v="240"/>
    </i>
    <i r="1">
      <x/>
    </i>
    <i r="2">
      <x/>
    </i>
    <i r="3">
      <x/>
    </i>
    <i>
      <x v="241"/>
    </i>
    <i r="1">
      <x/>
    </i>
    <i r="2">
      <x/>
    </i>
    <i r="3">
      <x/>
    </i>
    <i>
      <x v="242"/>
    </i>
    <i r="1">
      <x/>
    </i>
    <i r="2">
      <x/>
    </i>
    <i r="3">
      <x/>
    </i>
    <i>
      <x v="243"/>
    </i>
    <i r="1">
      <x/>
    </i>
    <i r="2">
      <x/>
    </i>
    <i r="3">
      <x/>
    </i>
    <i>
      <x v="244"/>
    </i>
    <i r="1">
      <x/>
    </i>
    <i r="2">
      <x/>
    </i>
    <i r="3">
      <x/>
    </i>
    <i>
      <x v="245"/>
    </i>
    <i r="1">
      <x/>
    </i>
    <i r="2">
      <x/>
    </i>
    <i r="3">
      <x/>
    </i>
    <i>
      <x v="246"/>
    </i>
    <i r="1">
      <x/>
    </i>
    <i r="2">
      <x/>
    </i>
    <i r="3">
      <x/>
    </i>
    <i>
      <x v="247"/>
    </i>
    <i r="1">
      <x/>
    </i>
    <i r="2">
      <x/>
    </i>
    <i r="3">
      <x/>
    </i>
    <i>
      <x v="248"/>
    </i>
    <i r="1">
      <x/>
    </i>
    <i r="2">
      <x/>
    </i>
    <i r="3">
      <x/>
    </i>
    <i>
      <x v="249"/>
    </i>
    <i r="1">
      <x/>
    </i>
    <i r="2">
      <x/>
    </i>
    <i r="3">
      <x/>
    </i>
    <i>
      <x v="250"/>
    </i>
    <i r="1">
      <x/>
    </i>
    <i r="2">
      <x/>
    </i>
    <i r="3">
      <x/>
    </i>
    <i>
      <x v="251"/>
    </i>
    <i r="1">
      <x/>
    </i>
    <i r="2">
      <x/>
    </i>
    <i r="3">
      <x/>
    </i>
    <i>
      <x v="252"/>
    </i>
    <i r="1">
      <x/>
    </i>
    <i r="2">
      <x/>
    </i>
    <i r="3">
      <x/>
    </i>
    <i>
      <x v="253"/>
    </i>
    <i r="1">
      <x/>
    </i>
    <i r="2">
      <x/>
    </i>
    <i r="3">
      <x/>
    </i>
    <i>
      <x v="254"/>
    </i>
    <i r="1">
      <x/>
    </i>
    <i r="2">
      <x/>
    </i>
    <i r="3">
      <x/>
    </i>
    <i>
      <x v="255"/>
    </i>
    <i r="1">
      <x/>
    </i>
    <i r="2">
      <x/>
    </i>
    <i r="3">
      <x/>
    </i>
    <i>
      <x v="256"/>
    </i>
    <i r="1">
      <x/>
    </i>
    <i r="2">
      <x/>
    </i>
    <i r="3">
      <x/>
    </i>
    <i>
      <x v="257"/>
    </i>
    <i r="1">
      <x/>
    </i>
    <i r="2">
      <x/>
    </i>
    <i r="3">
      <x/>
    </i>
    <i>
      <x v="258"/>
    </i>
    <i r="1">
      <x/>
    </i>
    <i r="2">
      <x/>
    </i>
    <i r="3">
      <x/>
    </i>
    <i>
      <x v="259"/>
    </i>
    <i r="1">
      <x/>
    </i>
    <i r="2">
      <x/>
    </i>
    <i r="3">
      <x/>
    </i>
    <i>
      <x v="260"/>
    </i>
    <i r="1">
      <x/>
    </i>
    <i r="2">
      <x/>
    </i>
    <i r="3">
      <x/>
    </i>
    <i>
      <x v="261"/>
    </i>
    <i r="1">
      <x/>
    </i>
    <i r="2">
      <x/>
    </i>
    <i r="3">
      <x/>
    </i>
    <i>
      <x v="262"/>
    </i>
    <i r="1">
      <x/>
    </i>
    <i r="2">
      <x/>
    </i>
    <i r="3">
      <x/>
    </i>
    <i>
      <x v="263"/>
    </i>
    <i r="1">
      <x/>
    </i>
    <i r="2">
      <x/>
    </i>
    <i r="3">
      <x/>
    </i>
    <i>
      <x v="264"/>
    </i>
    <i r="1">
      <x/>
    </i>
    <i r="2">
      <x/>
    </i>
    <i r="3">
      <x/>
    </i>
    <i>
      <x v="265"/>
    </i>
    <i r="1">
      <x/>
    </i>
    <i r="2">
      <x/>
    </i>
    <i r="3">
      <x/>
    </i>
    <i>
      <x v="266"/>
    </i>
    <i r="1">
      <x/>
    </i>
    <i r="2">
      <x/>
    </i>
    <i r="3">
      <x/>
    </i>
    <i>
      <x v="267"/>
    </i>
    <i r="1">
      <x/>
    </i>
    <i r="2">
      <x/>
    </i>
    <i r="3">
      <x/>
    </i>
    <i>
      <x v="268"/>
    </i>
    <i r="1">
      <x/>
    </i>
    <i r="2">
      <x/>
    </i>
    <i r="3">
      <x/>
    </i>
    <i>
      <x v="269"/>
    </i>
    <i r="1">
      <x/>
    </i>
    <i r="2">
      <x/>
    </i>
    <i r="3">
      <x/>
    </i>
    <i>
      <x v="270"/>
    </i>
    <i r="1">
      <x/>
    </i>
    <i r="2">
      <x/>
    </i>
    <i r="3">
      <x/>
    </i>
    <i>
      <x v="271"/>
    </i>
    <i r="1">
      <x/>
    </i>
    <i r="2">
      <x/>
    </i>
    <i r="3">
      <x/>
    </i>
    <i>
      <x v="272"/>
    </i>
    <i r="1">
      <x/>
    </i>
    <i r="2">
      <x/>
    </i>
    <i r="3">
      <x/>
    </i>
    <i>
      <x v="273"/>
    </i>
    <i r="1">
      <x/>
    </i>
    <i r="2">
      <x/>
    </i>
    <i r="3">
      <x/>
    </i>
    <i>
      <x v="274"/>
    </i>
    <i r="1">
      <x/>
    </i>
    <i r="2">
      <x/>
    </i>
    <i r="3">
      <x/>
    </i>
    <i>
      <x v="275"/>
    </i>
    <i r="1">
      <x/>
    </i>
    <i r="2">
      <x/>
    </i>
    <i r="3">
      <x/>
    </i>
    <i>
      <x v="276"/>
    </i>
    <i r="1">
      <x/>
    </i>
    <i r="2">
      <x/>
    </i>
    <i r="3">
      <x/>
    </i>
    <i>
      <x v="277"/>
    </i>
    <i r="1">
      <x/>
    </i>
    <i r="2">
      <x/>
    </i>
    <i r="3">
      <x/>
    </i>
    <i>
      <x v="278"/>
    </i>
    <i r="1">
      <x/>
    </i>
    <i r="2">
      <x/>
    </i>
    <i r="3">
      <x/>
    </i>
    <i>
      <x v="279"/>
    </i>
    <i r="1">
      <x/>
    </i>
    <i r="2">
      <x/>
    </i>
    <i r="3">
      <x/>
    </i>
    <i>
      <x v="280"/>
    </i>
    <i r="1">
      <x/>
    </i>
    <i r="2">
      <x/>
    </i>
    <i r="3">
      <x/>
    </i>
    <i>
      <x v="281"/>
    </i>
    <i r="1">
      <x/>
    </i>
    <i r="2">
      <x/>
    </i>
    <i r="3">
      <x/>
    </i>
    <i>
      <x v="282"/>
    </i>
    <i r="1">
      <x/>
    </i>
    <i r="2">
      <x/>
    </i>
    <i r="3">
      <x/>
    </i>
    <i>
      <x v="283"/>
    </i>
    <i r="1">
      <x/>
    </i>
    <i r="2">
      <x/>
    </i>
    <i r="3">
      <x/>
    </i>
    <i>
      <x v="284"/>
    </i>
    <i r="1">
      <x/>
    </i>
    <i r="2">
      <x/>
    </i>
    <i r="3">
      <x/>
    </i>
    <i>
      <x v="285"/>
    </i>
    <i r="1">
      <x/>
    </i>
    <i r="2">
      <x/>
    </i>
    <i r="3">
      <x/>
    </i>
    <i>
      <x v="286"/>
    </i>
    <i r="1">
      <x/>
    </i>
    <i r="2">
      <x/>
    </i>
    <i r="3">
      <x/>
    </i>
    <i>
      <x v="287"/>
    </i>
    <i r="1">
      <x/>
    </i>
    <i r="2">
      <x/>
    </i>
    <i r="3">
      <x/>
    </i>
    <i>
      <x v="288"/>
    </i>
    <i r="1">
      <x/>
    </i>
    <i r="2">
      <x/>
    </i>
    <i r="3">
      <x/>
    </i>
    <i>
      <x v="289"/>
    </i>
    <i r="1">
      <x/>
    </i>
    <i r="2">
      <x/>
    </i>
    <i r="3">
      <x/>
    </i>
    <i>
      <x v="290"/>
    </i>
    <i r="1">
      <x/>
    </i>
    <i r="2">
      <x/>
    </i>
    <i r="3">
      <x/>
    </i>
    <i>
      <x v="291"/>
    </i>
    <i r="1">
      <x/>
    </i>
    <i r="2">
      <x/>
    </i>
    <i r="3">
      <x/>
    </i>
    <i>
      <x v="292"/>
    </i>
    <i r="1">
      <x/>
    </i>
    <i r="2">
      <x/>
    </i>
    <i r="3">
      <x/>
    </i>
    <i>
      <x v="293"/>
    </i>
    <i r="1">
      <x/>
    </i>
    <i r="2">
      <x/>
    </i>
    <i r="3">
      <x/>
    </i>
    <i>
      <x v="294"/>
    </i>
    <i r="1">
      <x/>
    </i>
    <i r="2">
      <x/>
    </i>
    <i r="3">
      <x/>
    </i>
    <i>
      <x v="295"/>
    </i>
    <i r="1">
      <x/>
    </i>
    <i r="2">
      <x/>
    </i>
    <i r="3">
      <x/>
    </i>
    <i>
      <x v="296"/>
    </i>
    <i r="1">
      <x/>
    </i>
    <i r="2">
      <x/>
    </i>
    <i r="3">
      <x/>
    </i>
    <i>
      <x v="297"/>
    </i>
    <i r="1">
      <x/>
    </i>
    <i r="2">
      <x/>
    </i>
    <i r="3">
      <x/>
    </i>
    <i>
      <x v="298"/>
    </i>
    <i r="1">
      <x/>
    </i>
    <i r="2">
      <x/>
    </i>
    <i r="3">
      <x/>
    </i>
    <i>
      <x v="299"/>
    </i>
    <i r="1">
      <x/>
    </i>
    <i r="2">
      <x/>
    </i>
    <i r="3">
      <x/>
    </i>
    <i>
      <x v="300"/>
    </i>
    <i r="1">
      <x/>
    </i>
    <i r="2">
      <x/>
    </i>
    <i r="3">
      <x/>
    </i>
    <i>
      <x v="301"/>
    </i>
    <i r="1">
      <x/>
    </i>
    <i r="2">
      <x/>
    </i>
    <i r="3">
      <x/>
    </i>
    <i>
      <x v="302"/>
    </i>
    <i r="1">
      <x/>
    </i>
    <i r="2">
      <x/>
    </i>
    <i r="3">
      <x/>
    </i>
    <i>
      <x v="303"/>
    </i>
    <i r="1">
      <x/>
    </i>
    <i r="2">
      <x/>
    </i>
    <i r="3">
      <x/>
    </i>
    <i>
      <x v="304"/>
    </i>
    <i r="1">
      <x/>
    </i>
    <i r="2">
      <x/>
    </i>
    <i r="3">
      <x/>
    </i>
    <i>
      <x v="305"/>
    </i>
    <i r="1">
      <x/>
    </i>
    <i r="2">
      <x/>
    </i>
    <i r="3">
      <x/>
    </i>
    <i>
      <x v="306"/>
    </i>
    <i r="1">
      <x/>
    </i>
    <i r="2">
      <x/>
    </i>
    <i r="3">
      <x/>
    </i>
    <i>
      <x v="307"/>
    </i>
    <i r="1">
      <x/>
    </i>
    <i r="2">
      <x/>
    </i>
    <i r="3">
      <x/>
    </i>
    <i>
      <x v="308"/>
    </i>
    <i r="1">
      <x/>
    </i>
    <i r="2">
      <x/>
    </i>
    <i r="3">
      <x/>
    </i>
    <i>
      <x v="309"/>
    </i>
    <i r="1">
      <x/>
    </i>
    <i r="2">
      <x/>
    </i>
    <i r="3">
      <x/>
    </i>
    <i>
      <x v="310"/>
    </i>
    <i r="1">
      <x/>
    </i>
    <i r="2">
      <x/>
    </i>
    <i r="3">
      <x/>
    </i>
    <i>
      <x v="311"/>
    </i>
    <i r="1">
      <x/>
    </i>
    <i r="2">
      <x/>
    </i>
    <i r="3">
      <x/>
    </i>
    <i>
      <x v="312"/>
    </i>
    <i r="1">
      <x/>
    </i>
    <i r="2">
      <x/>
    </i>
    <i r="3">
      <x/>
    </i>
    <i>
      <x v="313"/>
    </i>
    <i r="1">
      <x/>
    </i>
    <i r="2">
      <x/>
    </i>
    <i r="3">
      <x/>
    </i>
    <i>
      <x v="314"/>
    </i>
    <i r="1">
      <x/>
    </i>
    <i r="2">
      <x/>
    </i>
    <i r="3">
      <x/>
    </i>
    <i>
      <x v="315"/>
    </i>
    <i r="1">
      <x/>
    </i>
    <i r="2">
      <x/>
    </i>
    <i r="3">
      <x/>
    </i>
    <i>
      <x v="316"/>
    </i>
    <i r="1">
      <x/>
    </i>
    <i r="2">
      <x/>
    </i>
    <i r="3">
      <x/>
    </i>
    <i>
      <x v="317"/>
    </i>
    <i r="1">
      <x/>
    </i>
    <i r="2">
      <x/>
    </i>
    <i r="3">
      <x/>
    </i>
    <i>
      <x v="318"/>
    </i>
    <i r="1">
      <x/>
    </i>
    <i r="2">
      <x/>
    </i>
    <i r="3">
      <x/>
    </i>
    <i>
      <x v="319"/>
    </i>
    <i r="1">
      <x/>
    </i>
    <i r="2">
      <x/>
    </i>
    <i r="3">
      <x/>
    </i>
    <i>
      <x v="320"/>
    </i>
    <i r="1">
      <x/>
    </i>
    <i r="2">
      <x/>
    </i>
    <i r="3">
      <x/>
    </i>
    <i>
      <x v="321"/>
    </i>
    <i r="1">
      <x/>
    </i>
    <i r="2">
      <x/>
    </i>
    <i r="3">
      <x/>
    </i>
    <i>
      <x v="322"/>
    </i>
    <i r="1">
      <x/>
    </i>
    <i r="2">
      <x/>
    </i>
    <i r="3">
      <x/>
    </i>
    <i>
      <x v="323"/>
    </i>
    <i r="1">
      <x/>
    </i>
    <i r="2">
      <x/>
    </i>
    <i r="3">
      <x/>
    </i>
    <i>
      <x v="324"/>
    </i>
    <i r="1">
      <x/>
    </i>
    <i r="2">
      <x/>
    </i>
    <i r="3">
      <x/>
    </i>
    <i>
      <x v="325"/>
    </i>
    <i r="1">
      <x/>
    </i>
    <i r="2">
      <x/>
    </i>
    <i r="3">
      <x/>
    </i>
    <i>
      <x v="326"/>
    </i>
    <i r="1">
      <x/>
    </i>
    <i r="2">
      <x/>
    </i>
    <i r="3">
      <x/>
    </i>
    <i>
      <x v="327"/>
    </i>
    <i r="1">
      <x/>
    </i>
    <i r="2">
      <x/>
    </i>
    <i r="3">
      <x/>
    </i>
    <i>
      <x v="328"/>
    </i>
    <i r="1">
      <x/>
    </i>
    <i r="2">
      <x/>
    </i>
    <i r="3">
      <x/>
    </i>
    <i>
      <x v="329"/>
    </i>
    <i r="1">
      <x/>
    </i>
    <i r="2">
      <x/>
    </i>
    <i r="3">
      <x/>
    </i>
    <i>
      <x v="330"/>
    </i>
    <i r="1">
      <x/>
    </i>
    <i r="2">
      <x/>
    </i>
    <i r="3">
      <x/>
    </i>
    <i>
      <x v="331"/>
    </i>
    <i r="1">
      <x/>
    </i>
    <i r="2">
      <x/>
    </i>
    <i r="3">
      <x/>
    </i>
    <i>
      <x v="332"/>
    </i>
    <i r="1">
      <x/>
    </i>
    <i r="2">
      <x/>
    </i>
    <i r="3">
      <x/>
    </i>
    <i>
      <x v="333"/>
    </i>
    <i r="1">
      <x/>
    </i>
    <i r="2">
      <x/>
    </i>
    <i r="3">
      <x/>
    </i>
    <i>
      <x v="334"/>
    </i>
    <i r="1">
      <x/>
    </i>
    <i r="2">
      <x/>
    </i>
    <i r="3">
      <x/>
    </i>
    <i>
      <x v="335"/>
    </i>
    <i r="1">
      <x/>
    </i>
    <i r="2">
      <x/>
    </i>
    <i r="3">
      <x/>
    </i>
    <i>
      <x v="336"/>
    </i>
    <i r="1">
      <x/>
    </i>
    <i r="2">
      <x/>
    </i>
    <i r="3">
      <x/>
    </i>
    <i>
      <x v="337"/>
    </i>
    <i r="1">
      <x/>
    </i>
    <i r="2">
      <x/>
    </i>
    <i r="3">
      <x/>
    </i>
    <i>
      <x v="338"/>
    </i>
    <i r="1">
      <x/>
    </i>
    <i r="2">
      <x/>
    </i>
    <i r="3">
      <x/>
    </i>
    <i>
      <x v="339"/>
    </i>
    <i r="1">
      <x/>
    </i>
    <i r="2">
      <x/>
    </i>
    <i r="3">
      <x/>
    </i>
    <i>
      <x v="340"/>
    </i>
    <i r="1">
      <x/>
    </i>
    <i r="2">
      <x/>
    </i>
    <i r="3">
      <x/>
    </i>
    <i>
      <x v="341"/>
    </i>
    <i r="1">
      <x/>
    </i>
    <i r="2">
      <x/>
    </i>
    <i r="3">
      <x/>
    </i>
    <i>
      <x v="342"/>
    </i>
    <i r="1">
      <x/>
    </i>
    <i r="2">
      <x/>
    </i>
    <i r="3">
      <x/>
    </i>
    <i>
      <x v="343"/>
    </i>
    <i r="1">
      <x/>
    </i>
    <i r="2">
      <x/>
    </i>
    <i r="3">
      <x/>
    </i>
    <i>
      <x v="344"/>
    </i>
    <i r="1">
      <x/>
    </i>
    <i r="2">
      <x/>
    </i>
    <i r="3">
      <x/>
    </i>
    <i>
      <x v="345"/>
    </i>
    <i r="1">
      <x/>
    </i>
    <i r="2">
      <x/>
    </i>
    <i r="3">
      <x/>
    </i>
    <i>
      <x v="346"/>
    </i>
    <i r="1">
      <x/>
    </i>
    <i r="2">
      <x/>
    </i>
    <i r="3">
      <x/>
    </i>
    <i>
      <x v="347"/>
    </i>
    <i r="1">
      <x/>
    </i>
    <i r="2">
      <x/>
    </i>
    <i r="3">
      <x/>
    </i>
    <i>
      <x v="348"/>
    </i>
    <i r="1">
      <x/>
    </i>
    <i r="2">
      <x/>
    </i>
    <i r="3">
      <x/>
    </i>
    <i>
      <x v="349"/>
    </i>
    <i r="1">
      <x/>
    </i>
    <i r="2">
      <x/>
    </i>
    <i r="3">
      <x/>
    </i>
    <i>
      <x v="350"/>
    </i>
    <i r="1">
      <x/>
    </i>
    <i r="2">
      <x/>
    </i>
    <i r="3">
      <x/>
    </i>
    <i>
      <x v="351"/>
    </i>
    <i r="1">
      <x/>
    </i>
    <i r="2">
      <x/>
    </i>
    <i r="3">
      <x/>
    </i>
    <i>
      <x v="352"/>
    </i>
    <i r="1">
      <x/>
    </i>
    <i r="2">
      <x/>
    </i>
    <i r="3">
      <x/>
    </i>
    <i>
      <x v="353"/>
    </i>
    <i r="1">
      <x/>
    </i>
    <i r="2">
      <x/>
    </i>
    <i r="3">
      <x/>
    </i>
    <i>
      <x v="354"/>
    </i>
    <i r="1">
      <x/>
    </i>
    <i r="2">
      <x/>
    </i>
    <i r="3">
      <x/>
    </i>
    <i>
      <x v="355"/>
    </i>
    <i r="1">
      <x/>
    </i>
    <i r="2">
      <x/>
    </i>
    <i r="3">
      <x/>
    </i>
    <i>
      <x v="356"/>
    </i>
    <i r="1">
      <x/>
    </i>
    <i r="2">
      <x/>
    </i>
    <i r="3">
      <x/>
    </i>
    <i>
      <x v="357"/>
    </i>
    <i r="1">
      <x/>
    </i>
    <i r="2">
      <x/>
    </i>
    <i r="3">
      <x/>
    </i>
    <i>
      <x v="358"/>
    </i>
    <i r="1">
      <x/>
    </i>
    <i r="2">
      <x/>
    </i>
    <i r="3">
      <x/>
    </i>
    <i>
      <x v="359"/>
    </i>
    <i r="1">
      <x/>
    </i>
    <i r="2">
      <x/>
    </i>
    <i r="3">
      <x/>
    </i>
    <i>
      <x v="360"/>
    </i>
    <i r="1">
      <x/>
    </i>
    <i r="2">
      <x/>
    </i>
    <i r="3">
      <x/>
    </i>
    <i>
      <x v="361"/>
    </i>
    <i r="1">
      <x/>
    </i>
    <i r="2">
      <x/>
    </i>
    <i r="3">
      <x/>
    </i>
    <i>
      <x v="362"/>
    </i>
    <i r="1">
      <x/>
    </i>
    <i r="2">
      <x/>
    </i>
    <i r="3">
      <x/>
    </i>
    <i>
      <x v="363"/>
    </i>
    <i r="1">
      <x/>
    </i>
    <i r="2">
      <x/>
    </i>
    <i r="3">
      <x/>
    </i>
    <i>
      <x v="364"/>
    </i>
    <i r="1">
      <x/>
    </i>
    <i r="2">
      <x/>
    </i>
    <i r="3">
      <x/>
    </i>
    <i>
      <x v="365"/>
    </i>
    <i r="1">
      <x/>
    </i>
    <i r="2">
      <x/>
    </i>
    <i r="3">
      <x/>
    </i>
    <i>
      <x v="366"/>
    </i>
    <i r="1">
      <x/>
    </i>
    <i r="2">
      <x/>
    </i>
    <i r="3">
      <x/>
    </i>
    <i>
      <x v="367"/>
    </i>
    <i r="1">
      <x/>
    </i>
    <i r="2">
      <x/>
    </i>
    <i r="3">
      <x/>
    </i>
    <i>
      <x v="368"/>
    </i>
    <i r="1">
      <x/>
    </i>
    <i r="2">
      <x/>
    </i>
    <i r="3">
      <x/>
    </i>
    <i>
      <x v="369"/>
    </i>
    <i r="1">
      <x/>
    </i>
    <i r="2">
      <x/>
    </i>
    <i r="3">
      <x/>
    </i>
    <i>
      <x v="370"/>
    </i>
    <i r="1">
      <x/>
    </i>
    <i r="2">
      <x/>
    </i>
    <i r="3">
      <x/>
    </i>
    <i>
      <x v="371"/>
    </i>
    <i r="1">
      <x/>
    </i>
    <i r="2">
      <x/>
    </i>
    <i r="3">
      <x/>
    </i>
    <i>
      <x v="372"/>
    </i>
    <i r="1">
      <x/>
    </i>
    <i r="2">
      <x/>
    </i>
    <i r="3">
      <x/>
    </i>
    <i>
      <x v="373"/>
    </i>
    <i r="1">
      <x/>
    </i>
    <i r="2">
      <x/>
    </i>
    <i r="3">
      <x/>
    </i>
    <i>
      <x v="374"/>
    </i>
    <i r="1">
      <x/>
    </i>
    <i r="2">
      <x/>
    </i>
    <i r="3">
      <x/>
    </i>
    <i>
      <x v="375"/>
    </i>
    <i r="1">
      <x/>
    </i>
    <i r="2">
      <x/>
    </i>
    <i r="3">
      <x/>
    </i>
    <i>
      <x v="376"/>
    </i>
    <i r="1">
      <x/>
    </i>
    <i r="2">
      <x/>
    </i>
    <i r="3">
      <x/>
    </i>
    <i>
      <x v="377"/>
    </i>
    <i r="1">
      <x/>
    </i>
    <i r="2">
      <x/>
    </i>
    <i r="3">
      <x/>
    </i>
    <i>
      <x v="378"/>
    </i>
    <i r="1">
      <x/>
    </i>
    <i r="2">
      <x/>
    </i>
    <i r="3">
      <x/>
    </i>
    <i>
      <x v="379"/>
    </i>
    <i r="1">
      <x/>
    </i>
    <i r="2">
      <x/>
    </i>
    <i r="3">
      <x/>
    </i>
    <i>
      <x v="380"/>
    </i>
    <i r="1">
      <x/>
    </i>
    <i r="2">
      <x/>
    </i>
    <i r="3">
      <x/>
    </i>
    <i>
      <x v="381"/>
    </i>
    <i r="1">
      <x/>
    </i>
    <i r="2">
      <x/>
    </i>
    <i r="3">
      <x/>
    </i>
    <i>
      <x v="382"/>
    </i>
    <i r="1">
      <x/>
    </i>
    <i r="2">
      <x/>
    </i>
    <i r="3">
      <x/>
    </i>
    <i>
      <x v="383"/>
    </i>
    <i r="1">
      <x/>
    </i>
    <i r="2">
      <x/>
    </i>
    <i r="3">
      <x/>
    </i>
    <i>
      <x v="384"/>
    </i>
    <i r="1">
      <x/>
    </i>
    <i r="2">
      <x/>
    </i>
    <i r="3">
      <x/>
    </i>
    <i>
      <x v="385"/>
    </i>
    <i r="1">
      <x/>
    </i>
    <i r="2">
      <x/>
    </i>
    <i r="3">
      <x/>
    </i>
    <i>
      <x v="386"/>
    </i>
    <i r="1">
      <x/>
    </i>
    <i r="2">
      <x/>
    </i>
    <i r="3">
      <x/>
    </i>
    <i>
      <x v="387"/>
    </i>
    <i r="1">
      <x/>
    </i>
    <i r="2">
      <x/>
    </i>
    <i r="3">
      <x/>
    </i>
    <i>
      <x v="388"/>
    </i>
    <i r="1">
      <x/>
    </i>
    <i r="2">
      <x/>
    </i>
    <i r="3">
      <x/>
    </i>
    <i>
      <x v="389"/>
    </i>
    <i r="1">
      <x/>
    </i>
    <i r="2">
      <x/>
    </i>
    <i r="3">
      <x/>
    </i>
    <i>
      <x v="390"/>
    </i>
    <i r="1">
      <x/>
    </i>
    <i r="2">
      <x/>
    </i>
    <i r="3">
      <x/>
    </i>
    <i>
      <x v="391"/>
    </i>
    <i r="1">
      <x/>
    </i>
    <i r="2">
      <x/>
    </i>
    <i r="3">
      <x/>
    </i>
    <i>
      <x v="392"/>
    </i>
    <i r="1">
      <x/>
    </i>
    <i r="2">
      <x/>
    </i>
    <i r="3">
      <x/>
    </i>
    <i>
      <x v="393"/>
    </i>
    <i r="1">
      <x/>
    </i>
    <i r="2">
      <x/>
    </i>
    <i r="3">
      <x/>
    </i>
    <i>
      <x v="394"/>
    </i>
    <i r="1">
      <x/>
    </i>
    <i r="2">
      <x/>
    </i>
    <i r="3">
      <x/>
    </i>
    <i>
      <x v="395"/>
    </i>
    <i r="1">
      <x/>
    </i>
    <i r="2">
      <x/>
    </i>
    <i r="3">
      <x/>
    </i>
    <i>
      <x v="396"/>
    </i>
    <i r="1">
      <x/>
    </i>
    <i r="2">
      <x/>
    </i>
    <i r="3">
      <x/>
    </i>
    <i>
      <x v="397"/>
    </i>
    <i r="1">
      <x/>
    </i>
    <i r="2">
      <x/>
    </i>
    <i r="3">
      <x/>
    </i>
    <i>
      <x v="398"/>
    </i>
    <i r="1">
      <x/>
    </i>
    <i r="2">
      <x/>
    </i>
    <i r="3">
      <x/>
    </i>
    <i>
      <x v="399"/>
    </i>
    <i r="1">
      <x/>
    </i>
    <i r="2">
      <x/>
    </i>
    <i r="3">
      <x/>
    </i>
    <i>
      <x v="400"/>
    </i>
    <i r="1">
      <x/>
    </i>
    <i r="2">
      <x/>
    </i>
    <i r="3">
      <x/>
    </i>
    <i>
      <x v="401"/>
    </i>
    <i r="1">
      <x/>
    </i>
    <i r="2">
      <x/>
    </i>
    <i r="3">
      <x/>
    </i>
    <i>
      <x v="402"/>
    </i>
    <i r="1">
      <x/>
    </i>
    <i r="2">
      <x/>
    </i>
    <i r="3">
      <x/>
    </i>
    <i>
      <x v="403"/>
    </i>
    <i r="1">
      <x/>
    </i>
    <i r="2">
      <x/>
    </i>
    <i r="3">
      <x/>
    </i>
    <i>
      <x v="404"/>
    </i>
    <i r="1">
      <x/>
    </i>
    <i r="2">
      <x/>
    </i>
    <i r="3">
      <x/>
    </i>
    <i>
      <x v="405"/>
    </i>
    <i r="1">
      <x/>
    </i>
    <i r="2">
      <x/>
    </i>
    <i r="3">
      <x/>
    </i>
    <i>
      <x v="406"/>
    </i>
    <i r="1">
      <x/>
    </i>
    <i r="2">
      <x/>
    </i>
    <i r="3">
      <x/>
    </i>
    <i>
      <x v="407"/>
    </i>
    <i r="1">
      <x/>
    </i>
    <i r="2">
      <x/>
    </i>
    <i r="3">
      <x/>
    </i>
    <i>
      <x v="408"/>
    </i>
    <i r="1">
      <x/>
    </i>
    <i r="2">
      <x/>
    </i>
    <i r="3">
      <x/>
    </i>
    <i>
      <x v="409"/>
    </i>
    <i r="1">
      <x/>
    </i>
    <i r="2">
      <x/>
    </i>
    <i r="3">
      <x/>
    </i>
    <i>
      <x v="410"/>
    </i>
    <i r="1">
      <x/>
    </i>
    <i r="2">
      <x/>
    </i>
    <i r="3">
      <x/>
    </i>
    <i>
      <x v="411"/>
    </i>
    <i r="1">
      <x/>
    </i>
    <i r="2">
      <x/>
    </i>
    <i r="3">
      <x/>
    </i>
    <i>
      <x v="412"/>
    </i>
    <i r="1">
      <x/>
    </i>
    <i r="2">
      <x/>
    </i>
    <i r="3">
      <x/>
    </i>
    <i>
      <x v="413"/>
    </i>
    <i r="1">
      <x/>
    </i>
    <i r="2">
      <x/>
    </i>
    <i r="3">
      <x/>
    </i>
    <i>
      <x v="414"/>
    </i>
    <i r="1">
      <x/>
    </i>
    <i r="2">
      <x/>
    </i>
    <i r="3">
      <x/>
    </i>
    <i>
      <x v="415"/>
    </i>
    <i r="1">
      <x/>
    </i>
    <i r="2">
      <x/>
    </i>
    <i r="3">
      <x/>
    </i>
    <i>
      <x v="416"/>
    </i>
    <i r="1">
      <x/>
    </i>
    <i r="2">
      <x/>
    </i>
    <i r="3">
      <x/>
    </i>
    <i>
      <x v="417"/>
    </i>
    <i r="1">
      <x/>
    </i>
    <i r="2">
      <x/>
    </i>
    <i r="3">
      <x/>
    </i>
    <i>
      <x v="418"/>
    </i>
    <i r="1">
      <x/>
    </i>
    <i r="2">
      <x/>
    </i>
    <i r="3">
      <x/>
    </i>
    <i>
      <x v="419"/>
    </i>
    <i r="1">
      <x/>
    </i>
    <i r="2">
      <x/>
    </i>
    <i r="3">
      <x/>
    </i>
    <i>
      <x v="420"/>
    </i>
    <i r="1">
      <x/>
    </i>
    <i r="2">
      <x/>
    </i>
    <i r="3">
      <x/>
    </i>
    <i>
      <x v="421"/>
    </i>
    <i r="1">
      <x/>
    </i>
    <i r="2">
      <x/>
    </i>
    <i r="3">
      <x/>
    </i>
    <i>
      <x v="422"/>
    </i>
    <i r="1">
      <x/>
    </i>
    <i r="2">
      <x/>
    </i>
    <i r="3">
      <x/>
    </i>
    <i>
      <x v="423"/>
    </i>
    <i r="1">
      <x/>
    </i>
    <i r="2">
      <x/>
    </i>
    <i r="3">
      <x/>
    </i>
    <i>
      <x v="424"/>
    </i>
    <i r="1">
      <x/>
    </i>
    <i r="2">
      <x/>
    </i>
    <i r="3">
      <x/>
    </i>
    <i>
      <x v="425"/>
    </i>
    <i r="1">
      <x/>
    </i>
    <i r="2">
      <x/>
    </i>
    <i r="3">
      <x/>
    </i>
    <i>
      <x v="426"/>
    </i>
    <i r="1">
      <x/>
    </i>
    <i r="2">
      <x/>
    </i>
    <i r="3">
      <x/>
    </i>
    <i>
      <x v="427"/>
    </i>
    <i r="1">
      <x/>
    </i>
    <i r="2">
      <x/>
    </i>
    <i r="3">
      <x/>
    </i>
    <i>
      <x v="428"/>
    </i>
    <i r="1">
      <x/>
    </i>
    <i r="2">
      <x/>
    </i>
    <i r="3">
      <x/>
    </i>
    <i>
      <x v="429"/>
    </i>
    <i r="1">
      <x/>
    </i>
    <i r="2">
      <x/>
    </i>
    <i r="3">
      <x/>
    </i>
    <i>
      <x v="430"/>
    </i>
    <i r="1">
      <x/>
    </i>
    <i r="2">
      <x/>
    </i>
    <i r="3">
      <x/>
    </i>
    <i>
      <x v="431"/>
    </i>
    <i r="1">
      <x/>
    </i>
    <i r="2">
      <x/>
    </i>
    <i r="3">
      <x/>
    </i>
    <i>
      <x v="432"/>
    </i>
    <i r="1">
      <x/>
    </i>
    <i r="2">
      <x/>
    </i>
    <i r="3">
      <x/>
    </i>
    <i>
      <x v="433"/>
    </i>
    <i r="1">
      <x/>
    </i>
    <i r="2">
      <x/>
    </i>
    <i r="3">
      <x/>
    </i>
    <i>
      <x v="434"/>
    </i>
    <i r="1">
      <x/>
    </i>
    <i r="2">
      <x/>
    </i>
    <i r="3">
      <x/>
    </i>
    <i>
      <x v="435"/>
    </i>
    <i r="1">
      <x/>
    </i>
    <i r="2">
      <x/>
    </i>
    <i r="3">
      <x/>
    </i>
    <i>
      <x v="436"/>
    </i>
    <i r="1">
      <x/>
    </i>
    <i r="2">
      <x/>
    </i>
    <i r="3">
      <x/>
    </i>
    <i>
      <x v="437"/>
    </i>
    <i r="1">
      <x/>
    </i>
    <i r="2">
      <x/>
    </i>
    <i r="3">
      <x/>
    </i>
    <i>
      <x v="438"/>
    </i>
    <i r="1">
      <x/>
    </i>
    <i r="2">
      <x/>
    </i>
    <i r="3">
      <x/>
    </i>
    <i>
      <x v="439"/>
    </i>
    <i r="1">
      <x/>
    </i>
    <i r="2">
      <x/>
    </i>
    <i r="3">
      <x/>
    </i>
    <i>
      <x v="440"/>
    </i>
    <i r="1">
      <x/>
    </i>
    <i r="2">
      <x/>
    </i>
    <i r="3">
      <x/>
    </i>
    <i>
      <x v="441"/>
    </i>
    <i r="1">
      <x/>
    </i>
    <i r="2">
      <x/>
    </i>
    <i r="3">
      <x/>
    </i>
    <i>
      <x v="442"/>
    </i>
    <i r="1">
      <x/>
    </i>
    <i r="2">
      <x/>
    </i>
    <i r="3">
      <x/>
    </i>
    <i>
      <x v="443"/>
    </i>
    <i r="1">
      <x/>
    </i>
    <i r="2">
      <x/>
    </i>
    <i r="3">
      <x/>
    </i>
    <i>
      <x v="444"/>
    </i>
    <i r="1">
      <x/>
    </i>
    <i r="2">
      <x/>
    </i>
    <i r="3">
      <x/>
    </i>
    <i>
      <x v="445"/>
    </i>
    <i r="1">
      <x/>
    </i>
    <i r="2">
      <x/>
    </i>
    <i r="3">
      <x/>
    </i>
    <i>
      <x v="446"/>
    </i>
    <i r="1">
      <x/>
    </i>
    <i r="2">
      <x/>
    </i>
    <i r="3">
      <x/>
    </i>
    <i>
      <x v="447"/>
    </i>
    <i r="1">
      <x/>
    </i>
    <i r="2">
      <x/>
    </i>
    <i r="3">
      <x/>
    </i>
    <i>
      <x v="448"/>
    </i>
    <i r="1">
      <x/>
    </i>
    <i r="2">
      <x/>
    </i>
    <i r="3">
      <x/>
    </i>
    <i>
      <x v="449"/>
    </i>
    <i r="1">
      <x/>
    </i>
    <i r="2">
      <x/>
    </i>
    <i r="3">
      <x/>
    </i>
    <i>
      <x v="450"/>
    </i>
    <i r="1">
      <x/>
    </i>
    <i r="2">
      <x/>
    </i>
    <i r="3">
      <x/>
    </i>
    <i>
      <x v="451"/>
    </i>
    <i r="1">
      <x/>
    </i>
    <i r="2">
      <x/>
    </i>
    <i r="3">
      <x/>
    </i>
    <i>
      <x v="452"/>
    </i>
    <i r="1">
      <x/>
    </i>
    <i r="2">
      <x/>
    </i>
    <i r="3">
      <x/>
    </i>
    <i>
      <x v="453"/>
    </i>
    <i r="1">
      <x/>
    </i>
    <i r="2">
      <x/>
    </i>
    <i r="3">
      <x/>
    </i>
    <i>
      <x v="454"/>
    </i>
    <i r="1">
      <x/>
    </i>
    <i r="2">
      <x/>
    </i>
    <i r="3">
      <x/>
    </i>
    <i>
      <x v="455"/>
    </i>
    <i r="1">
      <x/>
    </i>
    <i r="2">
      <x/>
    </i>
    <i r="3">
      <x/>
    </i>
    <i>
      <x v="456"/>
    </i>
    <i r="1">
      <x/>
    </i>
    <i r="2">
      <x/>
    </i>
    <i r="3">
      <x/>
    </i>
    <i>
      <x v="457"/>
    </i>
    <i r="1">
      <x/>
    </i>
    <i r="2">
      <x/>
    </i>
    <i r="3">
      <x/>
    </i>
    <i>
      <x v="458"/>
    </i>
    <i r="1">
      <x/>
    </i>
    <i r="2">
      <x/>
    </i>
    <i r="3">
      <x/>
    </i>
    <i>
      <x v="459"/>
    </i>
    <i r="1">
      <x/>
    </i>
    <i r="2">
      <x/>
    </i>
    <i r="3">
      <x/>
    </i>
    <i>
      <x v="460"/>
    </i>
    <i r="1">
      <x/>
    </i>
    <i r="2">
      <x/>
    </i>
    <i r="3">
      <x/>
    </i>
    <i>
      <x v="461"/>
    </i>
    <i r="1">
      <x/>
    </i>
    <i r="2">
      <x/>
    </i>
    <i r="3">
      <x/>
    </i>
    <i>
      <x v="462"/>
    </i>
    <i r="1">
      <x/>
    </i>
    <i r="2">
      <x/>
    </i>
    <i r="3">
      <x/>
    </i>
    <i>
      <x v="463"/>
    </i>
    <i r="1">
      <x/>
    </i>
    <i r="2">
      <x/>
    </i>
    <i r="3">
      <x/>
    </i>
    <i>
      <x v="464"/>
    </i>
    <i r="1">
      <x/>
    </i>
    <i r="2">
      <x/>
    </i>
    <i r="3">
      <x/>
    </i>
    <i>
      <x v="465"/>
    </i>
    <i r="1">
      <x/>
    </i>
    <i r="2">
      <x/>
    </i>
    <i r="3">
      <x/>
    </i>
    <i>
      <x v="466"/>
    </i>
    <i r="1">
      <x/>
    </i>
    <i r="2">
      <x/>
    </i>
    <i r="3">
      <x/>
    </i>
    <i>
      <x v="467"/>
    </i>
    <i r="1">
      <x/>
    </i>
    <i r="2">
      <x/>
    </i>
    <i r="3">
      <x/>
    </i>
    <i>
      <x v="468"/>
    </i>
    <i r="1">
      <x/>
    </i>
    <i r="2">
      <x/>
    </i>
    <i r="3">
      <x/>
    </i>
    <i>
      <x v="469"/>
    </i>
    <i r="1">
      <x/>
    </i>
    <i r="2">
      <x/>
    </i>
    <i r="3">
      <x/>
    </i>
    <i>
      <x v="470"/>
    </i>
    <i r="1">
      <x/>
    </i>
    <i r="2">
      <x/>
    </i>
    <i r="3">
      <x/>
    </i>
    <i>
      <x v="471"/>
    </i>
    <i r="1">
      <x/>
    </i>
    <i r="2">
      <x/>
    </i>
    <i r="3">
      <x/>
    </i>
    <i>
      <x v="472"/>
    </i>
    <i r="1">
      <x/>
    </i>
    <i r="2">
      <x/>
    </i>
    <i r="3">
      <x/>
    </i>
    <i>
      <x v="473"/>
    </i>
    <i r="1">
      <x/>
    </i>
    <i r="2">
      <x/>
    </i>
    <i r="3">
      <x/>
    </i>
    <i>
      <x v="474"/>
    </i>
    <i r="1">
      <x/>
    </i>
    <i r="2">
      <x/>
    </i>
    <i r="3">
      <x/>
    </i>
    <i>
      <x v="475"/>
    </i>
    <i r="1">
      <x/>
    </i>
    <i r="2">
      <x/>
    </i>
    <i r="3">
      <x/>
    </i>
    <i>
      <x v="476"/>
    </i>
    <i r="1">
      <x/>
    </i>
    <i r="2">
      <x/>
    </i>
    <i r="3">
      <x/>
    </i>
    <i>
      <x v="477"/>
    </i>
    <i r="1">
      <x/>
    </i>
    <i r="2">
      <x/>
    </i>
    <i r="3">
      <x/>
    </i>
    <i>
      <x v="478"/>
    </i>
    <i r="1">
      <x/>
    </i>
    <i r="2">
      <x/>
    </i>
    <i r="3">
      <x/>
    </i>
    <i>
      <x v="479"/>
    </i>
    <i r="1">
      <x/>
    </i>
    <i r="2">
      <x/>
    </i>
    <i r="3">
      <x/>
    </i>
    <i>
      <x v="480"/>
    </i>
    <i r="1">
      <x/>
    </i>
    <i r="2">
      <x/>
    </i>
    <i r="3">
      <x/>
    </i>
    <i>
      <x v="481"/>
    </i>
    <i r="1">
      <x/>
    </i>
    <i r="2">
      <x/>
    </i>
    <i r="3">
      <x/>
    </i>
    <i>
      <x v="482"/>
    </i>
    <i r="1">
      <x/>
    </i>
    <i r="2">
      <x/>
    </i>
    <i r="3">
      <x/>
    </i>
    <i>
      <x v="483"/>
    </i>
    <i r="1">
      <x/>
    </i>
    <i r="2">
      <x/>
    </i>
    <i r="3">
      <x/>
    </i>
    <i>
      <x v="484"/>
    </i>
    <i r="1">
      <x/>
    </i>
    <i r="2">
      <x/>
    </i>
    <i r="3">
      <x/>
    </i>
    <i>
      <x v="485"/>
    </i>
    <i r="1">
      <x/>
    </i>
    <i r="2">
      <x/>
    </i>
    <i r="3">
      <x/>
    </i>
    <i>
      <x v="486"/>
    </i>
    <i r="1">
      <x/>
    </i>
    <i r="2">
      <x/>
    </i>
    <i r="3">
      <x/>
    </i>
    <i>
      <x v="487"/>
    </i>
    <i r="1">
      <x/>
    </i>
    <i r="2">
      <x/>
    </i>
    <i r="3">
      <x/>
    </i>
    <i>
      <x v="488"/>
    </i>
    <i r="1">
      <x/>
    </i>
    <i r="2">
      <x/>
    </i>
    <i r="3">
      <x/>
    </i>
    <i>
      <x v="489"/>
    </i>
    <i r="1">
      <x/>
    </i>
    <i r="2">
      <x/>
    </i>
    <i r="3">
      <x/>
    </i>
    <i>
      <x v="490"/>
    </i>
    <i r="1">
      <x/>
    </i>
    <i r="2">
      <x/>
    </i>
    <i r="3">
      <x/>
    </i>
    <i>
      <x v="491"/>
    </i>
    <i r="1">
      <x/>
    </i>
    <i r="2">
      <x/>
    </i>
    <i r="3">
      <x/>
    </i>
    <i>
      <x v="492"/>
    </i>
    <i r="1">
      <x/>
    </i>
    <i r="2">
      <x/>
    </i>
    <i r="3">
      <x/>
    </i>
    <i>
      <x v="493"/>
    </i>
    <i r="1">
      <x/>
    </i>
    <i r="2">
      <x/>
    </i>
    <i r="3">
      <x/>
    </i>
    <i>
      <x v="494"/>
    </i>
    <i r="1">
      <x/>
    </i>
    <i r="2">
      <x/>
    </i>
    <i r="3">
      <x/>
    </i>
    <i>
      <x v="495"/>
    </i>
    <i r="1">
      <x/>
    </i>
    <i r="2">
      <x/>
    </i>
    <i r="3">
      <x/>
    </i>
    <i>
      <x v="496"/>
    </i>
    <i r="1">
      <x/>
    </i>
    <i r="2">
      <x/>
    </i>
    <i r="3">
      <x/>
    </i>
    <i>
      <x v="497"/>
    </i>
    <i r="1">
      <x/>
    </i>
    <i r="2">
      <x/>
    </i>
    <i r="3">
      <x/>
    </i>
    <i>
      <x v="498"/>
    </i>
    <i r="1">
      <x/>
    </i>
    <i r="2">
      <x/>
    </i>
    <i r="3">
      <x/>
    </i>
    <i>
      <x v="499"/>
    </i>
    <i r="1">
      <x/>
    </i>
    <i r="2">
      <x/>
    </i>
    <i r="3">
      <x/>
    </i>
    <i>
      <x v="500"/>
    </i>
    <i r="1">
      <x/>
    </i>
    <i r="2">
      <x/>
    </i>
    <i r="3">
      <x/>
    </i>
    <i>
      <x v="501"/>
    </i>
    <i r="1">
      <x/>
    </i>
    <i r="2">
      <x/>
    </i>
    <i r="3">
      <x/>
    </i>
    <i>
      <x v="502"/>
    </i>
    <i r="1">
      <x/>
    </i>
    <i r="2">
      <x/>
    </i>
    <i r="3">
      <x/>
    </i>
    <i>
      <x v="503"/>
    </i>
    <i r="1">
      <x/>
    </i>
    <i r="2">
      <x/>
    </i>
    <i r="3">
      <x/>
    </i>
    <i>
      <x v="504"/>
    </i>
    <i r="1">
      <x/>
    </i>
    <i r="2">
      <x/>
    </i>
    <i r="3">
      <x/>
    </i>
    <i>
      <x v="505"/>
    </i>
    <i r="1">
      <x/>
    </i>
    <i r="2">
      <x/>
    </i>
    <i r="3">
      <x/>
    </i>
    <i>
      <x v="506"/>
    </i>
    <i r="1">
      <x/>
    </i>
    <i r="2">
      <x/>
    </i>
    <i r="3">
      <x/>
    </i>
    <i>
      <x v="507"/>
    </i>
    <i r="1">
      <x/>
    </i>
    <i r="2">
      <x/>
    </i>
    <i r="3">
      <x/>
    </i>
    <i>
      <x v="508"/>
    </i>
    <i r="1">
      <x/>
    </i>
    <i r="2">
      <x/>
    </i>
    <i r="3">
      <x/>
    </i>
    <i>
      <x v="509"/>
    </i>
    <i r="1">
      <x/>
    </i>
    <i r="2">
      <x/>
    </i>
    <i r="3">
      <x/>
    </i>
    <i>
      <x v="510"/>
    </i>
    <i r="1">
      <x/>
    </i>
    <i r="2">
      <x/>
    </i>
    <i r="3">
      <x/>
    </i>
    <i>
      <x v="511"/>
    </i>
    <i r="1">
      <x/>
    </i>
    <i r="2">
      <x/>
    </i>
    <i r="3">
      <x/>
    </i>
    <i>
      <x v="512"/>
    </i>
    <i r="1">
      <x/>
    </i>
    <i r="2">
      <x/>
    </i>
    <i r="3">
      <x/>
    </i>
    <i>
      <x v="513"/>
    </i>
    <i r="1">
      <x/>
    </i>
    <i r="2">
      <x/>
    </i>
    <i r="3">
      <x/>
    </i>
    <i>
      <x v="514"/>
    </i>
    <i r="1">
      <x/>
    </i>
    <i r="2">
      <x/>
    </i>
    <i r="3">
      <x/>
    </i>
    <i>
      <x v="515"/>
    </i>
    <i r="1">
      <x/>
    </i>
    <i r="2">
      <x/>
    </i>
    <i r="3">
      <x/>
    </i>
    <i>
      <x v="516"/>
    </i>
    <i r="1">
      <x/>
    </i>
    <i r="2">
      <x/>
    </i>
    <i r="3">
      <x/>
    </i>
    <i>
      <x v="517"/>
    </i>
    <i r="1">
      <x/>
    </i>
    <i r="2">
      <x/>
    </i>
    <i r="3">
      <x/>
    </i>
    <i>
      <x v="518"/>
    </i>
    <i r="1">
      <x/>
    </i>
    <i r="2">
      <x/>
    </i>
    <i r="3">
      <x/>
    </i>
    <i>
      <x v="519"/>
    </i>
    <i r="1">
      <x/>
    </i>
    <i r="2">
      <x/>
    </i>
    <i r="3">
      <x/>
    </i>
    <i>
      <x v="520"/>
    </i>
    <i r="1">
      <x/>
    </i>
    <i r="2">
      <x/>
    </i>
    <i r="3">
      <x/>
    </i>
    <i>
      <x v="521"/>
    </i>
    <i r="1">
      <x/>
    </i>
    <i r="2">
      <x/>
    </i>
    <i r="3">
      <x/>
    </i>
    <i>
      <x v="522"/>
    </i>
    <i r="1">
      <x/>
    </i>
    <i r="2">
      <x/>
    </i>
    <i r="3">
      <x/>
    </i>
    <i>
      <x v="523"/>
    </i>
    <i r="1">
      <x/>
    </i>
    <i r="2">
      <x/>
    </i>
    <i r="3">
      <x/>
    </i>
    <i>
      <x v="524"/>
    </i>
    <i r="1">
      <x/>
    </i>
    <i r="2">
      <x/>
    </i>
    <i r="3">
      <x/>
    </i>
    <i>
      <x v="525"/>
    </i>
    <i r="1">
      <x/>
    </i>
    <i r="2">
      <x/>
    </i>
    <i r="3">
      <x/>
    </i>
    <i>
      <x v="526"/>
    </i>
    <i r="1">
      <x/>
    </i>
    <i r="2">
      <x/>
    </i>
    <i r="3">
      <x/>
    </i>
    <i>
      <x v="527"/>
    </i>
    <i r="1">
      <x/>
    </i>
    <i r="2">
      <x/>
    </i>
    <i r="3">
      <x/>
    </i>
    <i>
      <x v="528"/>
    </i>
    <i r="1">
      <x/>
    </i>
    <i r="2">
      <x/>
    </i>
    <i r="3">
      <x/>
    </i>
    <i>
      <x v="529"/>
    </i>
    <i r="1">
      <x/>
    </i>
    <i r="2">
      <x/>
    </i>
    <i r="3">
      <x/>
    </i>
    <i>
      <x v="530"/>
    </i>
    <i r="1">
      <x/>
    </i>
    <i r="2">
      <x/>
    </i>
    <i r="3">
      <x/>
    </i>
    <i>
      <x v="531"/>
    </i>
    <i r="1">
      <x/>
    </i>
    <i r="2">
      <x/>
    </i>
    <i r="3">
      <x/>
    </i>
    <i>
      <x v="532"/>
    </i>
    <i r="1">
      <x/>
    </i>
    <i r="2">
      <x/>
    </i>
    <i r="3">
      <x/>
    </i>
    <i>
      <x v="533"/>
    </i>
    <i r="1">
      <x/>
    </i>
    <i r="2">
      <x/>
    </i>
    <i r="3">
      <x/>
    </i>
    <i>
      <x v="534"/>
    </i>
    <i r="1">
      <x/>
    </i>
    <i r="2">
      <x/>
    </i>
    <i r="3">
      <x/>
    </i>
    <i>
      <x v="535"/>
    </i>
    <i r="1">
      <x/>
    </i>
    <i r="2">
      <x/>
    </i>
    <i r="3">
      <x/>
    </i>
    <i>
      <x v="536"/>
    </i>
    <i r="1">
      <x/>
    </i>
    <i r="2">
      <x/>
    </i>
    <i r="3">
      <x/>
    </i>
    <i>
      <x v="537"/>
    </i>
    <i r="1">
      <x/>
    </i>
    <i r="2">
      <x/>
    </i>
    <i r="3">
      <x/>
    </i>
    <i>
      <x v="538"/>
    </i>
    <i r="1">
      <x/>
    </i>
    <i r="2">
      <x/>
    </i>
    <i r="3">
      <x/>
    </i>
    <i>
      <x v="539"/>
    </i>
    <i r="1">
      <x/>
    </i>
    <i r="2">
      <x/>
    </i>
    <i r="3">
      <x/>
    </i>
    <i>
      <x v="540"/>
    </i>
    <i r="1">
      <x/>
    </i>
    <i r="2">
      <x/>
    </i>
    <i r="3">
      <x/>
    </i>
    <i>
      <x v="541"/>
    </i>
    <i r="1">
      <x/>
    </i>
    <i r="2">
      <x/>
    </i>
    <i r="3">
      <x/>
    </i>
    <i>
      <x v="542"/>
    </i>
    <i r="1">
      <x/>
    </i>
    <i r="2">
      <x/>
    </i>
    <i r="3">
      <x/>
    </i>
    <i>
      <x v="543"/>
    </i>
    <i r="1">
      <x/>
    </i>
    <i r="2">
      <x/>
    </i>
    <i r="3">
      <x/>
    </i>
    <i>
      <x v="544"/>
    </i>
    <i r="1">
      <x/>
    </i>
    <i r="2">
      <x/>
    </i>
    <i r="3">
      <x/>
    </i>
    <i>
      <x v="545"/>
    </i>
    <i r="1">
      <x/>
    </i>
    <i r="2">
      <x/>
    </i>
    <i r="3">
      <x/>
    </i>
    <i>
      <x v="546"/>
    </i>
    <i r="1">
      <x/>
    </i>
    <i r="2">
      <x/>
    </i>
    <i r="3">
      <x/>
    </i>
    <i>
      <x v="547"/>
    </i>
    <i r="1">
      <x/>
    </i>
    <i r="2">
      <x/>
    </i>
    <i r="3">
      <x/>
    </i>
    <i>
      <x v="548"/>
    </i>
    <i r="1">
      <x/>
    </i>
    <i r="2">
      <x/>
    </i>
    <i r="3">
      <x/>
    </i>
    <i>
      <x v="549"/>
    </i>
    <i r="1">
      <x/>
    </i>
    <i r="2">
      <x/>
    </i>
    <i r="3">
      <x/>
    </i>
    <i>
      <x v="550"/>
    </i>
    <i r="1">
      <x/>
    </i>
    <i r="2">
      <x/>
    </i>
    <i r="3">
      <x/>
    </i>
    <i>
      <x v="551"/>
    </i>
    <i r="1">
      <x/>
    </i>
    <i r="2">
      <x/>
    </i>
    <i r="3">
      <x/>
    </i>
    <i>
      <x v="552"/>
    </i>
    <i r="1">
      <x/>
    </i>
    <i r="2">
      <x/>
    </i>
    <i r="3">
      <x/>
    </i>
    <i>
      <x v="553"/>
    </i>
    <i r="1">
      <x/>
    </i>
    <i r="2">
      <x/>
    </i>
    <i r="3">
      <x/>
    </i>
    <i>
      <x v="554"/>
    </i>
    <i r="1">
      <x/>
    </i>
    <i r="2">
      <x/>
    </i>
    <i r="3">
      <x/>
    </i>
    <i>
      <x v="555"/>
    </i>
    <i r="1">
      <x/>
    </i>
    <i r="2">
      <x/>
    </i>
    <i r="3">
      <x/>
    </i>
    <i>
      <x v="556"/>
    </i>
    <i r="1">
      <x/>
    </i>
    <i r="2">
      <x/>
    </i>
    <i r="3">
      <x/>
    </i>
    <i>
      <x v="557"/>
    </i>
    <i r="1">
      <x/>
    </i>
    <i r="2">
      <x/>
    </i>
    <i r="3">
      <x/>
    </i>
    <i>
      <x v="558"/>
    </i>
    <i r="1">
      <x/>
    </i>
    <i r="2">
      <x/>
    </i>
    <i r="3">
      <x/>
    </i>
    <i>
      <x v="559"/>
    </i>
    <i r="1">
      <x/>
    </i>
    <i r="2">
      <x/>
    </i>
    <i r="3">
      <x/>
    </i>
    <i>
      <x v="560"/>
    </i>
    <i r="1">
      <x/>
    </i>
    <i r="2">
      <x/>
    </i>
    <i r="3">
      <x/>
    </i>
    <i>
      <x v="561"/>
    </i>
    <i r="1">
      <x/>
    </i>
    <i r="2">
      <x/>
    </i>
    <i r="3">
      <x/>
    </i>
    <i>
      <x v="562"/>
    </i>
    <i r="1">
      <x/>
    </i>
    <i r="2">
      <x/>
    </i>
    <i r="3">
      <x/>
    </i>
    <i>
      <x v="563"/>
    </i>
    <i r="1">
      <x/>
    </i>
    <i r="2">
      <x/>
    </i>
    <i r="3">
      <x/>
    </i>
    <i>
      <x v="564"/>
    </i>
    <i r="1">
      <x/>
    </i>
    <i r="2">
      <x/>
    </i>
    <i r="3">
      <x/>
    </i>
    <i>
      <x v="565"/>
    </i>
    <i r="1">
      <x/>
    </i>
    <i r="2">
      <x/>
    </i>
    <i r="3">
      <x/>
    </i>
    <i>
      <x v="566"/>
    </i>
    <i r="1">
      <x/>
    </i>
    <i r="2">
      <x/>
    </i>
    <i r="3">
      <x/>
    </i>
    <i>
      <x v="567"/>
    </i>
    <i r="1">
      <x/>
    </i>
    <i r="2">
      <x/>
    </i>
    <i r="3">
      <x/>
    </i>
    <i>
      <x v="568"/>
    </i>
    <i r="1">
      <x/>
    </i>
    <i r="2">
      <x/>
    </i>
    <i r="3">
      <x/>
    </i>
    <i>
      <x v="569"/>
    </i>
    <i r="1">
      <x/>
    </i>
    <i r="2">
      <x/>
    </i>
    <i r="3">
      <x/>
    </i>
    <i>
      <x v="570"/>
    </i>
    <i r="1">
      <x/>
    </i>
    <i r="2">
      <x/>
    </i>
    <i r="3">
      <x/>
    </i>
    <i>
      <x v="571"/>
    </i>
    <i r="1">
      <x/>
    </i>
    <i r="2">
      <x/>
    </i>
    <i r="3">
      <x/>
    </i>
    <i>
      <x v="572"/>
    </i>
    <i r="1">
      <x/>
    </i>
    <i r="2">
      <x/>
    </i>
    <i r="3">
      <x/>
    </i>
    <i>
      <x v="573"/>
    </i>
    <i r="1">
      <x/>
    </i>
    <i r="2">
      <x/>
    </i>
    <i r="3">
      <x/>
    </i>
    <i>
      <x v="574"/>
    </i>
    <i r="1">
      <x/>
    </i>
    <i r="2">
      <x/>
    </i>
    <i r="3">
      <x/>
    </i>
    <i>
      <x v="575"/>
    </i>
    <i r="1">
      <x/>
    </i>
    <i r="2">
      <x/>
    </i>
    <i r="3">
      <x/>
    </i>
    <i>
      <x v="576"/>
    </i>
    <i r="1">
      <x/>
    </i>
    <i r="2">
      <x/>
    </i>
    <i r="3">
      <x/>
    </i>
    <i>
      <x v="577"/>
    </i>
    <i r="1">
      <x/>
    </i>
    <i r="2">
      <x/>
    </i>
    <i r="3">
      <x/>
    </i>
    <i>
      <x v="578"/>
    </i>
    <i r="1">
      <x/>
    </i>
    <i r="2">
      <x/>
    </i>
    <i r="3">
      <x/>
    </i>
    <i>
      <x v="579"/>
    </i>
    <i r="1">
      <x/>
    </i>
    <i r="2">
      <x/>
    </i>
    <i r="3">
      <x/>
    </i>
    <i>
      <x v="580"/>
    </i>
    <i r="1">
      <x/>
    </i>
    <i r="2">
      <x/>
    </i>
    <i r="3">
      <x/>
    </i>
    <i>
      <x v="581"/>
    </i>
    <i r="1">
      <x/>
    </i>
    <i r="2">
      <x/>
    </i>
    <i r="3">
      <x/>
    </i>
    <i>
      <x v="582"/>
    </i>
    <i r="1">
      <x/>
    </i>
    <i r="2">
      <x/>
    </i>
    <i r="3">
      <x/>
    </i>
    <i>
      <x v="583"/>
    </i>
    <i r="1">
      <x/>
    </i>
    <i r="2">
      <x/>
    </i>
    <i r="3">
      <x/>
    </i>
    <i>
      <x v="584"/>
    </i>
    <i r="1">
      <x/>
    </i>
    <i r="2">
      <x/>
    </i>
    <i r="3">
      <x/>
    </i>
    <i>
      <x v="585"/>
    </i>
    <i r="1">
      <x/>
    </i>
    <i r="2">
      <x/>
    </i>
    <i r="3">
      <x/>
    </i>
    <i>
      <x v="586"/>
    </i>
    <i r="1">
      <x/>
    </i>
    <i r="2">
      <x/>
    </i>
    <i r="3">
      <x/>
    </i>
    <i>
      <x v="587"/>
    </i>
    <i r="1">
      <x/>
    </i>
    <i r="2">
      <x/>
    </i>
    <i r="3">
      <x/>
    </i>
    <i>
      <x v="588"/>
    </i>
    <i r="1">
      <x/>
    </i>
    <i r="2">
      <x/>
    </i>
    <i r="3">
      <x/>
    </i>
    <i>
      <x v="589"/>
    </i>
    <i r="1">
      <x/>
    </i>
    <i r="2">
      <x/>
    </i>
    <i r="3">
      <x/>
    </i>
    <i>
      <x v="590"/>
    </i>
    <i r="1">
      <x/>
    </i>
    <i r="2">
      <x/>
    </i>
    <i r="3">
      <x/>
    </i>
    <i>
      <x v="591"/>
    </i>
    <i r="1">
      <x/>
    </i>
    <i r="2">
      <x/>
    </i>
    <i r="3">
      <x/>
    </i>
    <i>
      <x v="592"/>
    </i>
    <i r="1">
      <x/>
    </i>
    <i r="2">
      <x/>
    </i>
    <i r="3">
      <x/>
    </i>
    <i>
      <x v="593"/>
    </i>
    <i r="1">
      <x/>
    </i>
    <i r="2">
      <x/>
    </i>
    <i r="3">
      <x/>
    </i>
    <i>
      <x v="594"/>
    </i>
    <i r="1">
      <x/>
    </i>
    <i r="2">
      <x/>
    </i>
    <i r="3">
      <x/>
    </i>
    <i>
      <x v="595"/>
    </i>
    <i r="1">
      <x/>
    </i>
    <i r="2">
      <x/>
    </i>
    <i r="3">
      <x/>
    </i>
    <i>
      <x v="596"/>
    </i>
    <i r="1">
      <x/>
    </i>
    <i r="2">
      <x/>
    </i>
    <i r="3">
      <x/>
    </i>
    <i>
      <x v="597"/>
    </i>
    <i r="1">
      <x/>
    </i>
    <i r="2">
      <x/>
    </i>
    <i r="3">
      <x/>
    </i>
    <i>
      <x v="598"/>
    </i>
    <i r="1">
      <x/>
    </i>
    <i r="2">
      <x/>
    </i>
    <i r="3">
      <x/>
    </i>
    <i>
      <x v="599"/>
    </i>
    <i r="1">
      <x/>
    </i>
    <i r="2">
      <x/>
    </i>
    <i r="3">
      <x/>
    </i>
    <i>
      <x v="600"/>
    </i>
    <i r="1">
      <x/>
    </i>
    <i r="2">
      <x/>
    </i>
    <i r="3">
      <x/>
    </i>
    <i>
      <x v="601"/>
    </i>
    <i r="1">
      <x/>
    </i>
    <i r="2">
      <x/>
    </i>
    <i r="3">
      <x/>
    </i>
    <i>
      <x v="602"/>
    </i>
    <i r="1">
      <x/>
    </i>
    <i r="2">
      <x/>
    </i>
    <i r="3">
      <x/>
    </i>
    <i>
      <x v="603"/>
    </i>
    <i r="1">
      <x/>
    </i>
    <i r="2">
      <x/>
    </i>
    <i r="3">
      <x/>
    </i>
    <i>
      <x v="604"/>
    </i>
    <i r="1">
      <x/>
    </i>
    <i r="2">
      <x/>
    </i>
    <i r="3">
      <x/>
    </i>
    <i>
      <x v="605"/>
    </i>
    <i r="1">
      <x/>
    </i>
    <i r="2">
      <x/>
    </i>
    <i r="3">
      <x/>
    </i>
    <i>
      <x v="606"/>
    </i>
    <i r="1">
      <x/>
    </i>
    <i r="2">
      <x/>
    </i>
    <i r="3">
      <x/>
    </i>
    <i>
      <x v="607"/>
    </i>
    <i r="1">
      <x/>
    </i>
    <i r="2">
      <x/>
    </i>
    <i r="3">
      <x/>
    </i>
    <i>
      <x v="608"/>
    </i>
    <i r="1">
      <x/>
    </i>
    <i r="2">
      <x/>
    </i>
    <i r="3">
      <x/>
    </i>
    <i>
      <x v="609"/>
    </i>
    <i r="1">
      <x/>
    </i>
    <i r="2">
      <x/>
    </i>
    <i r="3">
      <x/>
    </i>
    <i>
      <x v="610"/>
    </i>
    <i r="1">
      <x/>
    </i>
    <i r="2">
      <x/>
    </i>
    <i r="3">
      <x/>
    </i>
    <i>
      <x v="611"/>
    </i>
    <i r="1">
      <x/>
    </i>
    <i r="2">
      <x/>
    </i>
    <i r="3">
      <x/>
    </i>
    <i>
      <x v="612"/>
    </i>
    <i r="1">
      <x/>
    </i>
    <i r="2">
      <x/>
    </i>
    <i r="3">
      <x/>
    </i>
    <i>
      <x v="613"/>
    </i>
    <i r="1">
      <x/>
    </i>
    <i r="2">
      <x/>
    </i>
    <i r="3">
      <x/>
    </i>
    <i>
      <x v="614"/>
    </i>
    <i r="1">
      <x/>
    </i>
    <i r="2">
      <x/>
    </i>
    <i r="3">
      <x/>
    </i>
    <i>
      <x v="615"/>
    </i>
    <i r="1">
      <x/>
    </i>
    <i r="2">
      <x/>
    </i>
    <i r="3">
      <x/>
    </i>
    <i>
      <x v="616"/>
    </i>
    <i r="1">
      <x/>
    </i>
    <i r="2">
      <x/>
    </i>
    <i r="3">
      <x/>
    </i>
    <i>
      <x v="617"/>
    </i>
    <i r="1">
      <x/>
    </i>
    <i r="2">
      <x/>
    </i>
    <i r="3">
      <x/>
    </i>
    <i>
      <x v="618"/>
    </i>
    <i r="1">
      <x/>
    </i>
    <i r="2">
      <x/>
    </i>
    <i r="3">
      <x/>
    </i>
    <i>
      <x v="619"/>
    </i>
    <i r="1">
      <x/>
    </i>
    <i r="2">
      <x/>
    </i>
    <i r="3">
      <x/>
    </i>
    <i>
      <x v="620"/>
    </i>
    <i r="1">
      <x/>
    </i>
    <i r="2">
      <x/>
    </i>
    <i r="3">
      <x/>
    </i>
    <i>
      <x v="621"/>
    </i>
    <i r="1">
      <x/>
    </i>
    <i r="2">
      <x/>
    </i>
    <i r="3">
      <x/>
    </i>
    <i>
      <x v="622"/>
    </i>
    <i r="1">
      <x/>
    </i>
    <i r="2">
      <x/>
    </i>
    <i r="3">
      <x/>
    </i>
    <i>
      <x v="623"/>
    </i>
    <i r="1">
      <x/>
    </i>
    <i r="2">
      <x/>
    </i>
    <i r="3">
      <x/>
    </i>
    <i>
      <x v="624"/>
    </i>
    <i r="1">
      <x/>
    </i>
    <i r="2">
      <x/>
    </i>
    <i r="3">
      <x/>
    </i>
    <i>
      <x v="625"/>
    </i>
    <i r="1">
      <x/>
    </i>
    <i r="2">
      <x/>
    </i>
    <i r="3">
      <x/>
    </i>
    <i>
      <x v="626"/>
    </i>
    <i r="1">
      <x/>
    </i>
    <i r="2">
      <x/>
    </i>
    <i r="3">
      <x/>
    </i>
    <i>
      <x v="627"/>
    </i>
    <i r="1">
      <x/>
    </i>
    <i r="2">
      <x/>
    </i>
    <i r="3">
      <x/>
    </i>
    <i>
      <x v="628"/>
    </i>
    <i r="1">
      <x/>
    </i>
    <i r="2">
      <x/>
    </i>
    <i r="3">
      <x/>
    </i>
    <i>
      <x v="629"/>
    </i>
    <i r="1">
      <x/>
    </i>
    <i r="2">
      <x/>
    </i>
    <i r="3">
      <x/>
    </i>
    <i>
      <x v="630"/>
    </i>
    <i r="1">
      <x/>
    </i>
    <i r="2">
      <x/>
    </i>
    <i r="3">
      <x/>
    </i>
    <i>
      <x v="631"/>
    </i>
    <i r="1">
      <x/>
    </i>
    <i r="2">
      <x/>
    </i>
    <i r="3">
      <x/>
    </i>
    <i>
      <x v="632"/>
    </i>
    <i r="1">
      <x/>
    </i>
    <i r="2">
      <x/>
    </i>
    <i r="3">
      <x/>
    </i>
    <i>
      <x v="633"/>
    </i>
    <i r="1">
      <x/>
    </i>
    <i r="2">
      <x/>
    </i>
    <i r="3">
      <x/>
    </i>
    <i>
      <x v="634"/>
    </i>
    <i r="1">
      <x/>
    </i>
    <i r="2">
      <x/>
    </i>
    <i r="3">
      <x/>
    </i>
    <i>
      <x v="635"/>
    </i>
    <i r="1">
      <x/>
    </i>
    <i r="2">
      <x/>
    </i>
    <i r="3">
      <x/>
    </i>
    <i>
      <x v="636"/>
    </i>
    <i r="1">
      <x/>
    </i>
    <i r="2">
      <x/>
    </i>
    <i r="3">
      <x/>
    </i>
    <i>
      <x v="637"/>
    </i>
    <i r="1">
      <x/>
    </i>
    <i r="2">
      <x/>
    </i>
    <i r="3">
      <x/>
    </i>
    <i>
      <x v="638"/>
    </i>
    <i r="1">
      <x/>
    </i>
    <i r="2">
      <x/>
    </i>
    <i r="3">
      <x/>
    </i>
    <i>
      <x v="639"/>
    </i>
    <i r="1">
      <x/>
    </i>
    <i r="2">
      <x/>
    </i>
    <i r="3">
      <x/>
    </i>
    <i>
      <x v="640"/>
    </i>
    <i r="1">
      <x/>
    </i>
    <i r="2">
      <x/>
    </i>
    <i r="3">
      <x/>
    </i>
    <i>
      <x v="641"/>
    </i>
    <i r="1">
      <x/>
    </i>
    <i r="2">
      <x/>
    </i>
    <i r="3">
      <x/>
    </i>
    <i>
      <x v="642"/>
    </i>
    <i r="1">
      <x/>
    </i>
    <i r="2">
      <x/>
    </i>
    <i r="3">
      <x/>
    </i>
    <i>
      <x v="643"/>
    </i>
    <i r="1">
      <x/>
    </i>
    <i r="2">
      <x/>
    </i>
    <i r="3">
      <x/>
    </i>
    <i>
      <x v="644"/>
    </i>
    <i r="1">
      <x/>
    </i>
    <i r="2">
      <x/>
    </i>
    <i r="3">
      <x/>
    </i>
    <i>
      <x v="645"/>
    </i>
    <i r="1">
      <x/>
    </i>
    <i r="2">
      <x/>
    </i>
    <i r="3">
      <x/>
    </i>
    <i>
      <x v="646"/>
    </i>
    <i r="1">
      <x/>
    </i>
    <i r="2">
      <x/>
    </i>
    <i r="3">
      <x/>
    </i>
    <i>
      <x v="647"/>
    </i>
    <i r="1">
      <x/>
    </i>
    <i r="2">
      <x/>
    </i>
    <i r="3">
      <x/>
    </i>
    <i>
      <x v="648"/>
    </i>
    <i r="1">
      <x/>
    </i>
    <i r="2">
      <x/>
    </i>
    <i r="3">
      <x/>
    </i>
    <i>
      <x v="649"/>
    </i>
    <i r="1">
      <x/>
    </i>
    <i r="2">
      <x/>
    </i>
    <i r="3">
      <x/>
    </i>
    <i>
      <x v="650"/>
    </i>
    <i r="1">
      <x/>
    </i>
    <i r="2">
      <x/>
    </i>
    <i r="3">
      <x/>
    </i>
    <i>
      <x v="651"/>
    </i>
    <i r="1">
      <x/>
    </i>
    <i r="2">
      <x/>
    </i>
    <i r="3">
      <x/>
    </i>
    <i>
      <x v="652"/>
    </i>
    <i r="1">
      <x/>
    </i>
    <i r="2">
      <x/>
    </i>
    <i r="3">
      <x/>
    </i>
    <i>
      <x v="653"/>
    </i>
    <i r="1">
      <x/>
    </i>
    <i r="2">
      <x/>
    </i>
    <i r="3">
      <x/>
    </i>
    <i>
      <x v="654"/>
    </i>
    <i r="1">
      <x/>
    </i>
    <i r="2">
      <x/>
    </i>
    <i r="3">
      <x/>
    </i>
    <i>
      <x v="655"/>
    </i>
    <i r="1">
      <x/>
    </i>
    <i r="2">
      <x/>
    </i>
    <i r="3">
      <x/>
    </i>
    <i>
      <x v="656"/>
    </i>
    <i r="1">
      <x/>
    </i>
    <i r="2">
      <x/>
    </i>
    <i r="3">
      <x/>
    </i>
    <i>
      <x v="657"/>
    </i>
    <i r="1">
      <x/>
    </i>
    <i r="2">
      <x/>
    </i>
    <i r="3">
      <x/>
    </i>
    <i>
      <x v="658"/>
    </i>
    <i r="1">
      <x/>
    </i>
    <i r="2">
      <x/>
    </i>
    <i r="3">
      <x/>
    </i>
    <i>
      <x v="659"/>
    </i>
    <i r="1">
      <x/>
    </i>
    <i r="2">
      <x/>
    </i>
    <i r="3">
      <x/>
    </i>
    <i>
      <x v="660"/>
    </i>
    <i r="1">
      <x/>
    </i>
    <i r="2">
      <x/>
    </i>
    <i r="3">
      <x/>
    </i>
    <i>
      <x v="661"/>
    </i>
    <i r="1">
      <x/>
    </i>
    <i r="2">
      <x/>
    </i>
    <i r="3">
      <x/>
    </i>
    <i>
      <x v="662"/>
    </i>
    <i r="1">
      <x/>
    </i>
    <i r="2">
      <x/>
    </i>
    <i r="3">
      <x/>
    </i>
    <i>
      <x v="663"/>
    </i>
    <i r="1">
      <x/>
    </i>
    <i r="2">
      <x/>
    </i>
    <i r="3">
      <x/>
    </i>
    <i>
      <x v="664"/>
    </i>
    <i r="1">
      <x/>
    </i>
    <i r="2">
      <x/>
    </i>
    <i r="3">
      <x/>
    </i>
    <i>
      <x v="665"/>
    </i>
    <i r="1">
      <x/>
    </i>
    <i r="2">
      <x/>
    </i>
    <i r="3">
      <x/>
    </i>
    <i>
      <x v="666"/>
    </i>
    <i r="1">
      <x/>
    </i>
    <i r="2">
      <x/>
    </i>
    <i r="3">
      <x/>
    </i>
    <i>
      <x v="667"/>
    </i>
    <i r="1">
      <x/>
    </i>
    <i r="2">
      <x/>
    </i>
    <i r="3">
      <x/>
    </i>
    <i>
      <x v="668"/>
    </i>
    <i r="1">
      <x/>
    </i>
    <i r="2">
      <x/>
    </i>
    <i r="3">
      <x/>
    </i>
    <i>
      <x v="669"/>
    </i>
    <i r="1">
      <x/>
    </i>
    <i r="2">
      <x/>
    </i>
    <i r="3">
      <x/>
    </i>
    <i>
      <x v="670"/>
    </i>
    <i r="1">
      <x/>
    </i>
    <i r="2">
      <x/>
    </i>
    <i r="3">
      <x/>
    </i>
    <i>
      <x v="671"/>
    </i>
    <i r="1">
      <x/>
    </i>
    <i r="2">
      <x/>
    </i>
    <i r="3">
      <x/>
    </i>
    <i>
      <x v="672"/>
    </i>
    <i r="1">
      <x/>
    </i>
    <i r="2">
      <x/>
    </i>
    <i r="3">
      <x/>
    </i>
    <i>
      <x v="673"/>
    </i>
    <i r="1">
      <x/>
    </i>
    <i r="2">
      <x/>
    </i>
    <i r="3">
      <x/>
    </i>
    <i>
      <x v="674"/>
    </i>
    <i r="1">
      <x/>
    </i>
    <i r="2">
      <x/>
    </i>
    <i r="3">
      <x/>
    </i>
    <i>
      <x v="675"/>
    </i>
    <i r="1">
      <x/>
    </i>
    <i r="2">
      <x/>
    </i>
    <i r="3">
      <x/>
    </i>
    <i>
      <x v="676"/>
    </i>
    <i r="1">
      <x/>
    </i>
    <i r="2">
      <x/>
    </i>
    <i r="3">
      <x/>
    </i>
    <i>
      <x v="677"/>
    </i>
    <i r="1">
      <x/>
    </i>
    <i r="2">
      <x/>
    </i>
    <i r="3">
      <x/>
    </i>
    <i>
      <x v="678"/>
    </i>
    <i r="1">
      <x/>
    </i>
    <i r="2">
      <x/>
    </i>
    <i r="3">
      <x/>
    </i>
    <i>
      <x v="679"/>
    </i>
    <i r="1">
      <x/>
    </i>
    <i r="2">
      <x/>
    </i>
    <i r="3">
      <x/>
    </i>
    <i>
      <x v="680"/>
    </i>
    <i r="1">
      <x/>
    </i>
    <i r="2">
      <x/>
    </i>
    <i r="3">
      <x/>
    </i>
    <i>
      <x v="681"/>
    </i>
    <i r="1">
      <x/>
    </i>
    <i r="2">
      <x/>
    </i>
    <i r="3">
      <x/>
    </i>
    <i>
      <x v="682"/>
    </i>
    <i r="1">
      <x/>
    </i>
    <i r="2">
      <x/>
    </i>
    <i r="3">
      <x/>
    </i>
    <i>
      <x v="683"/>
    </i>
    <i r="1">
      <x/>
    </i>
    <i r="2">
      <x/>
    </i>
    <i r="3">
      <x/>
    </i>
    <i>
      <x v="684"/>
    </i>
    <i r="1">
      <x/>
    </i>
    <i r="2">
      <x/>
    </i>
    <i r="3">
      <x/>
    </i>
    <i>
      <x v="685"/>
    </i>
    <i r="1">
      <x/>
    </i>
    <i r="2">
      <x/>
    </i>
    <i r="3">
      <x/>
    </i>
    <i>
      <x v="686"/>
    </i>
    <i r="1">
      <x/>
    </i>
    <i r="2">
      <x/>
    </i>
    <i r="3">
      <x/>
    </i>
    <i>
      <x v="687"/>
    </i>
    <i r="1">
      <x/>
    </i>
    <i r="2">
      <x/>
    </i>
    <i r="3">
      <x/>
    </i>
    <i>
      <x v="688"/>
    </i>
    <i r="1">
      <x/>
    </i>
    <i r="2">
      <x/>
    </i>
    <i r="3">
      <x/>
    </i>
    <i>
      <x v="689"/>
    </i>
    <i r="1">
      <x/>
    </i>
    <i r="2">
      <x/>
    </i>
    <i r="3">
      <x/>
    </i>
    <i>
      <x v="690"/>
    </i>
    <i r="1">
      <x/>
    </i>
    <i r="2">
      <x/>
    </i>
    <i r="3">
      <x/>
    </i>
    <i>
      <x v="691"/>
    </i>
    <i r="1">
      <x/>
    </i>
    <i r="2">
      <x/>
    </i>
    <i r="3">
      <x/>
    </i>
    <i>
      <x v="692"/>
    </i>
    <i r="1">
      <x/>
    </i>
    <i r="2">
      <x/>
    </i>
    <i r="3">
      <x/>
    </i>
    <i>
      <x v="693"/>
    </i>
    <i r="1">
      <x/>
    </i>
    <i r="2">
      <x/>
    </i>
    <i r="3">
      <x/>
    </i>
    <i>
      <x v="694"/>
    </i>
    <i r="1">
      <x/>
    </i>
    <i r="2">
      <x/>
    </i>
    <i r="3">
      <x/>
    </i>
    <i>
      <x v="695"/>
    </i>
    <i r="1">
      <x/>
    </i>
    <i r="2">
      <x/>
    </i>
    <i r="3">
      <x/>
    </i>
    <i>
      <x v="696"/>
    </i>
    <i r="1">
      <x/>
    </i>
    <i r="2">
      <x/>
    </i>
    <i r="3">
      <x/>
    </i>
    <i>
      <x v="697"/>
    </i>
    <i r="1">
      <x/>
    </i>
    <i r="2">
      <x/>
    </i>
    <i r="3">
      <x/>
    </i>
    <i>
      <x v="698"/>
    </i>
    <i r="1">
      <x/>
    </i>
    <i r="2">
      <x/>
    </i>
    <i r="3">
      <x/>
    </i>
    <i>
      <x v="699"/>
    </i>
    <i r="1">
      <x/>
    </i>
    <i r="2">
      <x/>
    </i>
    <i r="3">
      <x/>
    </i>
    <i>
      <x v="700"/>
    </i>
    <i r="1">
      <x/>
    </i>
    <i r="2">
      <x/>
    </i>
    <i r="3">
      <x/>
    </i>
    <i>
      <x v="701"/>
    </i>
    <i r="1">
      <x/>
    </i>
    <i r="2">
      <x/>
    </i>
    <i r="3">
      <x/>
    </i>
    <i>
      <x v="702"/>
    </i>
    <i r="1">
      <x/>
    </i>
    <i r="2">
      <x/>
    </i>
    <i r="3">
      <x/>
    </i>
    <i>
      <x v="703"/>
    </i>
    <i r="1">
      <x/>
    </i>
    <i r="2">
      <x/>
    </i>
    <i r="3">
      <x/>
    </i>
    <i>
      <x v="704"/>
    </i>
    <i r="1">
      <x/>
    </i>
    <i r="2">
      <x/>
    </i>
    <i r="3">
      <x/>
    </i>
    <i>
      <x v="705"/>
    </i>
    <i r="1">
      <x/>
    </i>
    <i r="2">
      <x/>
    </i>
    <i r="3">
      <x/>
    </i>
    <i>
      <x v="706"/>
    </i>
    <i r="1">
      <x/>
    </i>
    <i r="2">
      <x/>
    </i>
    <i r="3">
      <x/>
    </i>
    <i>
      <x v="707"/>
    </i>
    <i r="1">
      <x/>
    </i>
    <i r="2">
      <x/>
    </i>
    <i r="3">
      <x/>
    </i>
    <i>
      <x v="708"/>
    </i>
    <i r="1">
      <x/>
    </i>
    <i r="2">
      <x/>
    </i>
    <i r="3">
      <x/>
    </i>
    <i>
      <x v="709"/>
    </i>
    <i r="1">
      <x/>
    </i>
    <i r="2">
      <x/>
    </i>
    <i r="3">
      <x/>
    </i>
    <i>
      <x v="710"/>
    </i>
    <i r="1">
      <x/>
    </i>
    <i r="2">
      <x/>
    </i>
    <i r="3">
      <x/>
    </i>
    <i>
      <x v="711"/>
    </i>
    <i r="1">
      <x/>
    </i>
    <i r="2">
      <x/>
    </i>
    <i r="3">
      <x/>
    </i>
    <i>
      <x v="712"/>
    </i>
    <i r="1">
      <x/>
    </i>
    <i r="2">
      <x/>
    </i>
    <i r="3">
      <x/>
    </i>
    <i>
      <x v="713"/>
    </i>
    <i r="1">
      <x/>
    </i>
    <i r="2">
      <x/>
    </i>
    <i r="3">
      <x/>
    </i>
    <i>
      <x v="714"/>
    </i>
    <i r="1">
      <x/>
    </i>
    <i r="2">
      <x/>
    </i>
    <i r="3">
      <x/>
    </i>
    <i>
      <x v="715"/>
    </i>
    <i r="1">
      <x/>
    </i>
    <i r="2">
      <x/>
    </i>
    <i r="3">
      <x/>
    </i>
    <i>
      <x v="716"/>
    </i>
    <i r="1">
      <x/>
    </i>
    <i r="2">
      <x/>
    </i>
    <i r="3">
      <x/>
    </i>
    <i>
      <x v="717"/>
    </i>
    <i r="1">
      <x/>
    </i>
    <i r="2">
      <x/>
    </i>
    <i r="3">
      <x/>
    </i>
    <i>
      <x v="718"/>
    </i>
    <i r="1">
      <x/>
    </i>
    <i r="2">
      <x/>
    </i>
    <i r="3">
      <x/>
    </i>
    <i>
      <x v="719"/>
    </i>
    <i r="1">
      <x/>
    </i>
    <i r="2">
      <x/>
    </i>
    <i r="3">
      <x/>
    </i>
    <i>
      <x v="720"/>
    </i>
    <i r="1">
      <x/>
    </i>
    <i r="2">
      <x/>
    </i>
    <i r="3">
      <x/>
    </i>
    <i>
      <x v="721"/>
    </i>
    <i r="1">
      <x/>
    </i>
    <i r="2">
      <x/>
    </i>
    <i r="3">
      <x/>
    </i>
    <i>
      <x v="722"/>
    </i>
    <i r="1">
      <x/>
    </i>
    <i r="2">
      <x/>
    </i>
    <i r="3">
      <x/>
    </i>
    <i>
      <x v="723"/>
    </i>
    <i r="1">
      <x/>
    </i>
    <i r="2">
      <x/>
    </i>
    <i r="3">
      <x/>
    </i>
    <i>
      <x v="724"/>
    </i>
    <i r="1">
      <x/>
    </i>
    <i r="2">
      <x/>
    </i>
    <i r="3">
      <x/>
    </i>
    <i>
      <x v="725"/>
    </i>
    <i r="1">
      <x/>
    </i>
    <i r="2">
      <x/>
    </i>
    <i r="3">
      <x/>
    </i>
    <i>
      <x v="726"/>
    </i>
    <i r="1">
      <x/>
    </i>
    <i r="2">
      <x/>
    </i>
    <i r="3">
      <x/>
    </i>
    <i>
      <x v="727"/>
    </i>
    <i r="1">
      <x/>
    </i>
    <i r="2">
      <x/>
    </i>
    <i r="3">
      <x/>
    </i>
    <i>
      <x v="728"/>
    </i>
    <i r="1">
      <x/>
    </i>
    <i r="2">
      <x/>
    </i>
    <i r="3">
      <x/>
    </i>
    <i>
      <x v="729"/>
    </i>
    <i r="1">
      <x/>
    </i>
    <i r="2">
      <x/>
    </i>
    <i r="3">
      <x/>
    </i>
    <i>
      <x v="730"/>
    </i>
    <i r="1">
      <x/>
    </i>
    <i r="2">
      <x/>
    </i>
    <i r="3">
      <x/>
    </i>
    <i>
      <x v="731"/>
    </i>
    <i r="1">
      <x/>
    </i>
    <i r="2">
      <x/>
    </i>
    <i r="3">
      <x/>
    </i>
    <i>
      <x v="732"/>
    </i>
    <i r="1">
      <x/>
    </i>
    <i r="2">
      <x/>
    </i>
    <i r="3">
      <x/>
    </i>
    <i>
      <x v="733"/>
    </i>
    <i r="1">
      <x/>
    </i>
    <i r="2">
      <x/>
    </i>
    <i r="3">
      <x/>
    </i>
    <i>
      <x v="734"/>
    </i>
    <i r="1">
      <x/>
    </i>
    <i r="2">
      <x/>
    </i>
    <i r="3">
      <x/>
    </i>
    <i>
      <x v="735"/>
    </i>
    <i r="1">
      <x/>
    </i>
    <i r="2">
      <x/>
    </i>
    <i r="3">
      <x/>
    </i>
    <i>
      <x v="736"/>
    </i>
    <i r="1">
      <x/>
    </i>
    <i r="2">
      <x/>
    </i>
    <i r="3">
      <x/>
    </i>
    <i>
      <x v="737"/>
    </i>
    <i r="1">
      <x/>
    </i>
    <i r="2">
      <x/>
    </i>
    <i r="3">
      <x/>
    </i>
    <i>
      <x v="738"/>
    </i>
    <i r="1">
      <x/>
    </i>
    <i r="2">
      <x/>
    </i>
    <i r="3">
      <x/>
    </i>
    <i>
      <x v="739"/>
    </i>
    <i r="1">
      <x/>
    </i>
    <i r="2">
      <x/>
    </i>
    <i r="3">
      <x/>
    </i>
    <i>
      <x v="740"/>
    </i>
    <i r="1">
      <x/>
    </i>
    <i r="2">
      <x/>
    </i>
    <i r="3">
      <x/>
    </i>
    <i>
      <x v="741"/>
    </i>
    <i r="1">
      <x/>
    </i>
    <i r="2">
      <x/>
    </i>
    <i r="3">
      <x/>
    </i>
    <i>
      <x v="742"/>
    </i>
    <i r="1">
      <x/>
    </i>
    <i r="2">
      <x/>
    </i>
    <i r="3">
      <x/>
    </i>
    <i>
      <x v="743"/>
    </i>
    <i r="1">
      <x/>
    </i>
    <i r="2">
      <x/>
    </i>
    <i r="3">
      <x/>
    </i>
    <i>
      <x v="744"/>
    </i>
    <i r="1">
      <x/>
    </i>
    <i r="2">
      <x/>
    </i>
    <i r="3">
      <x/>
    </i>
    <i>
      <x v="745"/>
    </i>
    <i r="1">
      <x/>
    </i>
    <i r="2">
      <x/>
    </i>
    <i r="3">
      <x/>
    </i>
    <i>
      <x v="746"/>
    </i>
    <i r="1">
      <x/>
    </i>
    <i r="2">
      <x/>
    </i>
    <i r="3">
      <x/>
    </i>
    <i>
      <x v="747"/>
    </i>
    <i r="1">
      <x/>
    </i>
    <i r="2">
      <x/>
    </i>
    <i r="3">
      <x/>
    </i>
    <i>
      <x v="748"/>
    </i>
    <i r="1">
      <x/>
    </i>
    <i r="2">
      <x/>
    </i>
    <i r="3">
      <x/>
    </i>
    <i>
      <x v="749"/>
    </i>
    <i r="1">
      <x/>
    </i>
    <i r="2">
      <x/>
    </i>
    <i r="3">
      <x/>
    </i>
    <i>
      <x v="750"/>
    </i>
    <i r="1">
      <x/>
    </i>
    <i r="2">
      <x/>
    </i>
    <i r="3">
      <x/>
    </i>
    <i>
      <x v="751"/>
    </i>
    <i r="1">
      <x/>
    </i>
    <i r="2">
      <x/>
    </i>
    <i r="3">
      <x/>
    </i>
    <i>
      <x v="752"/>
    </i>
    <i r="1">
      <x/>
    </i>
    <i r="2">
      <x/>
    </i>
    <i r="3">
      <x/>
    </i>
    <i>
      <x v="753"/>
    </i>
    <i r="1">
      <x/>
    </i>
    <i r="2">
      <x/>
    </i>
    <i r="3">
      <x/>
    </i>
    <i>
      <x v="754"/>
    </i>
    <i r="1">
      <x/>
    </i>
    <i r="2">
      <x/>
    </i>
    <i r="3">
      <x/>
    </i>
    <i>
      <x v="755"/>
    </i>
    <i r="1">
      <x/>
    </i>
    <i r="2">
      <x/>
    </i>
    <i r="3">
      <x/>
    </i>
    <i>
      <x v="756"/>
    </i>
    <i r="1">
      <x/>
    </i>
    <i r="2">
      <x/>
    </i>
    <i r="3">
      <x/>
    </i>
    <i>
      <x v="757"/>
    </i>
    <i r="1">
      <x/>
    </i>
    <i r="2">
      <x/>
    </i>
    <i r="3">
      <x/>
    </i>
    <i>
      <x v="758"/>
    </i>
    <i r="1">
      <x/>
    </i>
    <i r="2">
      <x/>
    </i>
    <i r="3">
      <x/>
    </i>
    <i>
      <x v="759"/>
    </i>
    <i r="1">
      <x/>
    </i>
    <i r="2">
      <x/>
    </i>
    <i r="3">
      <x/>
    </i>
    <i>
      <x v="760"/>
    </i>
    <i r="1">
      <x/>
    </i>
    <i r="2">
      <x/>
    </i>
    <i r="3">
      <x/>
    </i>
    <i>
      <x v="761"/>
    </i>
    <i r="1">
      <x/>
    </i>
    <i r="2">
      <x/>
    </i>
    <i r="3">
      <x/>
    </i>
    <i>
      <x v="762"/>
    </i>
    <i r="1">
      <x/>
    </i>
    <i r="2">
      <x/>
    </i>
    <i r="3">
      <x/>
    </i>
    <i>
      <x v="763"/>
    </i>
    <i r="1">
      <x/>
    </i>
    <i r="2">
      <x/>
    </i>
    <i r="3">
      <x/>
    </i>
    <i>
      <x v="764"/>
    </i>
    <i r="1">
      <x/>
    </i>
    <i r="2">
      <x/>
    </i>
    <i r="3">
      <x/>
    </i>
    <i>
      <x v="765"/>
    </i>
    <i r="1">
      <x/>
    </i>
    <i r="2">
      <x/>
    </i>
    <i r="3">
      <x/>
    </i>
    <i>
      <x v="766"/>
    </i>
    <i r="1">
      <x/>
    </i>
    <i r="2">
      <x/>
    </i>
    <i r="3">
      <x/>
    </i>
    <i>
      <x v="767"/>
    </i>
    <i r="1">
      <x/>
    </i>
    <i r="2">
      <x/>
    </i>
    <i r="3">
      <x/>
    </i>
    <i>
      <x v="768"/>
    </i>
    <i r="1">
      <x/>
    </i>
    <i r="2">
      <x/>
    </i>
    <i r="3">
      <x/>
    </i>
    <i>
      <x v="769"/>
    </i>
    <i r="1">
      <x/>
    </i>
    <i r="2">
      <x/>
    </i>
    <i r="3">
      <x/>
    </i>
    <i>
      <x v="770"/>
    </i>
    <i r="1">
      <x/>
    </i>
    <i r="2">
      <x/>
    </i>
    <i r="3">
      <x/>
    </i>
    <i>
      <x v="771"/>
    </i>
    <i r="1">
      <x/>
    </i>
    <i r="2">
      <x/>
    </i>
    <i r="3">
      <x/>
    </i>
    <i>
      <x v="772"/>
    </i>
    <i r="1">
      <x/>
    </i>
    <i r="2">
      <x/>
    </i>
    <i r="3">
      <x/>
    </i>
    <i>
      <x v="773"/>
    </i>
    <i r="1">
      <x/>
    </i>
    <i r="2">
      <x/>
    </i>
    <i r="3">
      <x/>
    </i>
    <i>
      <x v="774"/>
    </i>
    <i r="1">
      <x/>
    </i>
    <i r="2">
      <x/>
    </i>
    <i r="3">
      <x/>
    </i>
    <i>
      <x v="775"/>
    </i>
    <i r="1">
      <x/>
    </i>
    <i r="2">
      <x/>
    </i>
    <i r="3">
      <x/>
    </i>
    <i>
      <x v="776"/>
    </i>
    <i r="1">
      <x/>
    </i>
    <i r="2">
      <x/>
    </i>
    <i r="3">
      <x/>
    </i>
    <i>
      <x v="777"/>
    </i>
    <i r="1">
      <x/>
    </i>
    <i r="2">
      <x/>
    </i>
    <i r="3">
      <x/>
    </i>
    <i>
      <x v="778"/>
    </i>
    <i r="1">
      <x/>
    </i>
    <i r="2">
      <x/>
    </i>
    <i r="3">
      <x/>
    </i>
    <i>
      <x v="779"/>
    </i>
    <i r="1">
      <x/>
    </i>
    <i r="2">
      <x/>
    </i>
    <i r="3">
      <x/>
    </i>
    <i>
      <x v="780"/>
    </i>
    <i r="1">
      <x/>
    </i>
    <i r="2">
      <x/>
    </i>
    <i r="3">
      <x/>
    </i>
    <i>
      <x v="781"/>
    </i>
    <i r="1">
      <x/>
    </i>
    <i r="2">
      <x/>
    </i>
    <i r="3">
      <x/>
    </i>
    <i>
      <x v="782"/>
    </i>
    <i r="1">
      <x/>
    </i>
    <i r="2">
      <x/>
    </i>
    <i r="3">
      <x/>
    </i>
    <i>
      <x v="783"/>
    </i>
    <i r="1">
      <x/>
    </i>
    <i r="2">
      <x/>
    </i>
    <i r="3">
      <x/>
    </i>
    <i>
      <x v="784"/>
    </i>
    <i r="1">
      <x/>
    </i>
    <i r="2">
      <x/>
    </i>
    <i r="3">
      <x/>
    </i>
    <i>
      <x v="785"/>
    </i>
    <i r="1">
      <x/>
    </i>
    <i r="2">
      <x/>
    </i>
    <i r="3">
      <x/>
    </i>
    <i>
      <x v="786"/>
    </i>
    <i r="1">
      <x/>
    </i>
    <i r="2">
      <x/>
    </i>
    <i r="3">
      <x/>
    </i>
    <i>
      <x v="787"/>
    </i>
    <i r="1">
      <x/>
    </i>
    <i r="2">
      <x/>
    </i>
    <i r="3">
      <x/>
    </i>
    <i>
      <x v="788"/>
    </i>
    <i r="1">
      <x/>
    </i>
    <i r="2">
      <x/>
    </i>
    <i r="3">
      <x/>
    </i>
    <i>
      <x v="789"/>
    </i>
    <i r="1">
      <x/>
    </i>
    <i r="2">
      <x/>
    </i>
    <i r="3">
      <x/>
    </i>
    <i>
      <x v="790"/>
    </i>
    <i r="1">
      <x/>
    </i>
    <i r="2">
      <x/>
    </i>
    <i r="3">
      <x/>
    </i>
    <i>
      <x v="791"/>
    </i>
    <i r="1">
      <x/>
    </i>
    <i r="2">
      <x/>
    </i>
    <i r="3">
      <x/>
    </i>
    <i>
      <x v="792"/>
    </i>
    <i r="1">
      <x/>
    </i>
    <i r="2">
      <x/>
    </i>
    <i r="3">
      <x/>
    </i>
    <i>
      <x v="793"/>
    </i>
    <i r="1">
      <x/>
    </i>
    <i r="2">
      <x/>
    </i>
    <i r="3">
      <x/>
    </i>
    <i>
      <x v="794"/>
    </i>
    <i r="1">
      <x/>
    </i>
    <i r="2">
      <x/>
    </i>
    <i r="3">
      <x/>
    </i>
    <i>
      <x v="795"/>
    </i>
    <i r="1">
      <x/>
    </i>
    <i r="2">
      <x/>
    </i>
    <i r="3">
      <x/>
    </i>
    <i>
      <x v="796"/>
    </i>
    <i r="1">
      <x/>
    </i>
    <i r="2">
      <x/>
    </i>
    <i r="3">
      <x/>
    </i>
    <i>
      <x v="797"/>
    </i>
    <i r="1">
      <x/>
    </i>
    <i r="2">
      <x/>
    </i>
    <i r="3">
      <x/>
    </i>
    <i>
      <x v="798"/>
    </i>
    <i r="1">
      <x/>
    </i>
    <i r="2">
      <x/>
    </i>
    <i r="3">
      <x/>
    </i>
    <i>
      <x v="799"/>
    </i>
    <i r="1">
      <x/>
    </i>
    <i r="2">
      <x/>
    </i>
    <i r="3">
      <x/>
    </i>
    <i>
      <x v="800"/>
    </i>
    <i r="1">
      <x/>
    </i>
    <i r="2">
      <x/>
    </i>
    <i r="3">
      <x/>
    </i>
    <i>
      <x v="801"/>
    </i>
    <i r="1">
      <x/>
    </i>
    <i r="2">
      <x/>
    </i>
    <i r="3">
      <x/>
    </i>
    <i>
      <x v="802"/>
    </i>
    <i r="1">
      <x/>
    </i>
    <i r="2">
      <x/>
    </i>
    <i r="3">
      <x/>
    </i>
    <i>
      <x v="803"/>
    </i>
    <i r="1">
      <x/>
    </i>
    <i r="2">
      <x/>
    </i>
    <i r="3">
      <x/>
    </i>
    <i>
      <x v="804"/>
    </i>
    <i r="1">
      <x/>
    </i>
    <i r="2">
      <x/>
    </i>
    <i r="3">
      <x/>
    </i>
    <i>
      <x v="805"/>
    </i>
    <i r="1">
      <x/>
    </i>
    <i r="2">
      <x/>
    </i>
    <i r="3">
      <x/>
    </i>
    <i>
      <x v="806"/>
    </i>
    <i r="1">
      <x/>
    </i>
    <i r="2">
      <x/>
    </i>
    <i r="3">
      <x/>
    </i>
    <i>
      <x v="807"/>
    </i>
    <i r="1">
      <x/>
    </i>
    <i r="2">
      <x/>
    </i>
    <i r="3">
      <x/>
    </i>
    <i>
      <x v="808"/>
    </i>
    <i r="1">
      <x/>
    </i>
    <i r="2">
      <x/>
    </i>
    <i r="3">
      <x/>
    </i>
    <i>
      <x v="809"/>
    </i>
    <i r="1">
      <x/>
    </i>
    <i r="2">
      <x/>
    </i>
    <i r="3">
      <x/>
    </i>
    <i>
      <x v="810"/>
    </i>
    <i r="1">
      <x/>
    </i>
    <i r="2">
      <x/>
    </i>
    <i r="3">
      <x/>
    </i>
    <i>
      <x v="811"/>
    </i>
    <i r="1">
      <x/>
    </i>
    <i r="2">
      <x/>
    </i>
    <i r="3">
      <x/>
    </i>
    <i>
      <x v="812"/>
    </i>
    <i r="1">
      <x/>
    </i>
    <i r="2">
      <x/>
    </i>
    <i r="3">
      <x/>
    </i>
    <i>
      <x v="813"/>
    </i>
    <i r="1">
      <x/>
    </i>
    <i r="2">
      <x/>
    </i>
    <i r="3">
      <x/>
    </i>
    <i>
      <x v="814"/>
    </i>
    <i r="1">
      <x/>
    </i>
    <i r="2">
      <x/>
    </i>
    <i r="3">
      <x/>
    </i>
    <i>
      <x v="815"/>
    </i>
    <i r="1">
      <x/>
    </i>
    <i r="2">
      <x/>
    </i>
    <i r="3">
      <x/>
    </i>
    <i>
      <x v="816"/>
    </i>
    <i r="1">
      <x/>
    </i>
    <i r="2">
      <x/>
    </i>
    <i r="3">
      <x/>
    </i>
    <i>
      <x v="817"/>
    </i>
    <i r="1">
      <x/>
    </i>
    <i r="2">
      <x/>
    </i>
    <i r="3">
      <x/>
    </i>
    <i>
      <x v="818"/>
    </i>
    <i r="1">
      <x/>
    </i>
    <i r="2">
      <x/>
    </i>
    <i r="3">
      <x/>
    </i>
    <i>
      <x v="819"/>
    </i>
    <i r="1">
      <x/>
    </i>
    <i r="2">
      <x/>
    </i>
    <i r="3">
      <x/>
    </i>
    <i>
      <x v="820"/>
    </i>
    <i r="1">
      <x/>
    </i>
    <i r="2">
      <x/>
    </i>
    <i r="3">
      <x/>
    </i>
    <i>
      <x v="821"/>
    </i>
    <i r="1">
      <x/>
    </i>
    <i r="2">
      <x/>
    </i>
    <i r="3">
      <x/>
    </i>
    <i>
      <x v="822"/>
    </i>
    <i r="1">
      <x/>
    </i>
    <i r="2">
      <x/>
    </i>
    <i r="3">
      <x/>
    </i>
    <i>
      <x v="823"/>
    </i>
    <i r="1">
      <x/>
    </i>
    <i r="2">
      <x/>
    </i>
    <i r="3">
      <x/>
    </i>
    <i>
      <x v="824"/>
    </i>
    <i r="1">
      <x/>
    </i>
    <i r="2">
      <x/>
    </i>
    <i r="3">
      <x/>
    </i>
    <i>
      <x v="825"/>
    </i>
    <i r="1">
      <x/>
    </i>
    <i r="2">
      <x/>
    </i>
    <i r="3">
      <x/>
    </i>
    <i>
      <x v="826"/>
    </i>
    <i r="1">
      <x/>
    </i>
    <i r="2">
      <x/>
    </i>
    <i r="3">
      <x/>
    </i>
    <i>
      <x v="827"/>
    </i>
    <i r="1">
      <x/>
    </i>
    <i r="2">
      <x/>
    </i>
    <i r="3">
      <x/>
    </i>
    <i>
      <x v="828"/>
    </i>
    <i r="1">
      <x/>
    </i>
    <i r="2">
      <x/>
    </i>
    <i r="3">
      <x/>
    </i>
    <i>
      <x v="829"/>
    </i>
    <i r="1">
      <x/>
    </i>
    <i r="2">
      <x/>
    </i>
    <i r="3">
      <x/>
    </i>
    <i>
      <x v="830"/>
    </i>
    <i r="1">
      <x/>
    </i>
    <i r="2">
      <x/>
    </i>
    <i r="3">
      <x/>
    </i>
    <i>
      <x v="831"/>
    </i>
    <i r="1">
      <x/>
    </i>
    <i r="2">
      <x/>
    </i>
    <i r="3">
      <x/>
    </i>
    <i>
      <x v="832"/>
    </i>
    <i r="1">
      <x/>
    </i>
    <i r="2">
      <x/>
    </i>
    <i r="3">
      <x/>
    </i>
    <i>
      <x v="833"/>
    </i>
    <i r="1">
      <x/>
    </i>
    <i r="2">
      <x/>
    </i>
    <i r="3">
      <x/>
    </i>
    <i>
      <x v="834"/>
    </i>
    <i r="1">
      <x/>
    </i>
    <i r="2">
      <x/>
    </i>
    <i r="3">
      <x/>
    </i>
    <i>
      <x v="835"/>
    </i>
    <i r="1">
      <x/>
    </i>
    <i r="2">
      <x/>
    </i>
    <i r="3">
      <x/>
    </i>
    <i>
      <x v="836"/>
    </i>
    <i r="1">
      <x/>
    </i>
    <i r="2">
      <x/>
    </i>
    <i r="3">
      <x/>
    </i>
    <i>
      <x v="837"/>
    </i>
    <i r="1">
      <x/>
    </i>
    <i r="2">
      <x/>
    </i>
    <i r="3">
      <x/>
    </i>
    <i>
      <x v="838"/>
    </i>
    <i r="1">
      <x/>
    </i>
    <i r="2">
      <x/>
    </i>
    <i r="3">
      <x/>
    </i>
    <i>
      <x v="839"/>
    </i>
    <i r="1">
      <x/>
    </i>
    <i r="2">
      <x/>
    </i>
    <i r="3">
      <x/>
    </i>
    <i>
      <x v="840"/>
    </i>
    <i r="1">
      <x/>
    </i>
    <i r="2">
      <x/>
    </i>
    <i r="3">
      <x/>
    </i>
    <i>
      <x v="841"/>
    </i>
    <i r="1">
      <x/>
    </i>
    <i r="2">
      <x/>
    </i>
    <i r="3">
      <x/>
    </i>
    <i>
      <x v="842"/>
    </i>
    <i r="1">
      <x/>
    </i>
    <i r="2">
      <x/>
    </i>
    <i r="3">
      <x/>
    </i>
    <i>
      <x v="843"/>
    </i>
    <i r="1">
      <x/>
    </i>
    <i r="2">
      <x/>
    </i>
    <i r="3">
      <x/>
    </i>
    <i>
      <x v="844"/>
    </i>
    <i r="1">
      <x/>
    </i>
    <i r="2">
      <x/>
    </i>
    <i r="3">
      <x/>
    </i>
    <i>
      <x v="845"/>
    </i>
    <i r="1">
      <x/>
    </i>
    <i r="2">
      <x/>
    </i>
    <i r="3">
      <x/>
    </i>
    <i>
      <x v="846"/>
    </i>
    <i r="1">
      <x/>
    </i>
    <i r="2">
      <x/>
    </i>
    <i r="3">
      <x/>
    </i>
    <i>
      <x v="847"/>
    </i>
    <i r="1">
      <x/>
    </i>
    <i r="2">
      <x/>
    </i>
    <i r="3">
      <x/>
    </i>
    <i>
      <x v="848"/>
    </i>
    <i r="1">
      <x/>
    </i>
    <i r="2">
      <x/>
    </i>
    <i r="3">
      <x/>
    </i>
    <i>
      <x v="849"/>
    </i>
    <i r="1">
      <x/>
    </i>
    <i r="2">
      <x/>
    </i>
    <i r="3">
      <x/>
    </i>
    <i>
      <x v="850"/>
    </i>
    <i r="1">
      <x/>
    </i>
    <i r="2">
      <x/>
    </i>
    <i r="3">
      <x/>
    </i>
    <i>
      <x v="851"/>
    </i>
    <i r="1">
      <x/>
    </i>
    <i r="2">
      <x/>
    </i>
    <i r="3">
      <x/>
    </i>
    <i>
      <x v="852"/>
    </i>
    <i r="1">
      <x/>
    </i>
    <i r="2">
      <x/>
    </i>
    <i r="3">
      <x/>
    </i>
    <i>
      <x v="853"/>
    </i>
    <i r="1">
      <x/>
    </i>
    <i r="2">
      <x/>
    </i>
    <i r="3">
      <x/>
    </i>
    <i>
      <x v="854"/>
    </i>
    <i r="1">
      <x/>
    </i>
    <i r="2">
      <x/>
    </i>
    <i r="3">
      <x/>
    </i>
    <i>
      <x v="855"/>
    </i>
    <i r="1">
      <x/>
    </i>
    <i r="2">
      <x/>
    </i>
    <i r="3">
      <x/>
    </i>
    <i>
      <x v="856"/>
    </i>
    <i r="1">
      <x/>
    </i>
    <i r="2">
      <x/>
    </i>
    <i r="3">
      <x/>
    </i>
    <i>
      <x v="857"/>
    </i>
    <i r="1">
      <x/>
    </i>
    <i r="2">
      <x/>
    </i>
    <i r="3">
      <x/>
    </i>
    <i>
      <x v="858"/>
    </i>
    <i r="1">
      <x/>
    </i>
    <i r="2">
      <x/>
    </i>
    <i r="3">
      <x/>
    </i>
    <i>
      <x v="859"/>
    </i>
    <i r="1">
      <x/>
    </i>
    <i r="2">
      <x/>
    </i>
    <i r="3">
      <x/>
    </i>
    <i>
      <x v="860"/>
    </i>
    <i r="1">
      <x/>
    </i>
    <i r="2">
      <x/>
    </i>
    <i r="3">
      <x/>
    </i>
    <i>
      <x v="861"/>
    </i>
    <i r="1">
      <x/>
    </i>
    <i r="2">
      <x/>
    </i>
    <i r="3">
      <x/>
    </i>
    <i>
      <x v="862"/>
    </i>
    <i r="1">
      <x/>
    </i>
    <i r="2">
      <x/>
    </i>
    <i r="3">
      <x/>
    </i>
    <i>
      <x v="863"/>
    </i>
    <i r="1">
      <x/>
    </i>
    <i r="2">
      <x/>
    </i>
    <i r="3">
      <x/>
    </i>
    <i>
      <x v="864"/>
    </i>
    <i r="1">
      <x/>
    </i>
    <i r="2">
      <x/>
    </i>
    <i r="3">
      <x/>
    </i>
    <i>
      <x v="865"/>
    </i>
    <i r="1">
      <x/>
    </i>
    <i r="2">
      <x/>
    </i>
    <i r="3">
      <x/>
    </i>
    <i>
      <x v="866"/>
    </i>
    <i r="1">
      <x/>
    </i>
    <i r="2">
      <x/>
    </i>
    <i r="3">
      <x/>
    </i>
    <i>
      <x v="867"/>
    </i>
    <i r="1">
      <x/>
    </i>
    <i r="2">
      <x/>
    </i>
    <i r="3">
      <x/>
    </i>
    <i>
      <x v="868"/>
    </i>
    <i r="1">
      <x/>
    </i>
    <i r="2">
      <x/>
    </i>
    <i r="3">
      <x/>
    </i>
    <i>
      <x v="869"/>
    </i>
    <i r="1">
      <x/>
    </i>
    <i r="2">
      <x/>
    </i>
    <i r="3">
      <x/>
    </i>
    <i>
      <x v="870"/>
    </i>
    <i r="1">
      <x/>
    </i>
    <i r="2">
      <x/>
    </i>
    <i r="3">
      <x/>
    </i>
    <i>
      <x v="871"/>
    </i>
    <i r="1">
      <x/>
    </i>
    <i r="2">
      <x/>
    </i>
    <i r="3">
      <x/>
    </i>
    <i>
      <x v="872"/>
    </i>
    <i r="1">
      <x/>
    </i>
    <i r="2">
      <x/>
    </i>
    <i r="3">
      <x/>
    </i>
    <i>
      <x v="873"/>
    </i>
    <i r="1">
      <x/>
    </i>
    <i r="2">
      <x/>
    </i>
    <i r="3">
      <x/>
    </i>
    <i>
      <x v="874"/>
    </i>
    <i r="1">
      <x/>
    </i>
    <i r="2">
      <x/>
    </i>
    <i r="3">
      <x/>
    </i>
    <i>
      <x v="875"/>
    </i>
    <i r="1">
      <x/>
    </i>
    <i r="2">
      <x/>
    </i>
    <i r="3">
      <x/>
    </i>
    <i>
      <x v="876"/>
    </i>
    <i r="1">
      <x/>
    </i>
    <i r="2">
      <x/>
    </i>
    <i r="3">
      <x/>
    </i>
    <i>
      <x v="877"/>
    </i>
    <i r="1">
      <x/>
    </i>
    <i r="2">
      <x/>
    </i>
    <i r="3">
      <x/>
    </i>
    <i>
      <x v="878"/>
    </i>
    <i r="1">
      <x/>
    </i>
    <i r="2">
      <x/>
    </i>
    <i r="3">
      <x/>
    </i>
    <i>
      <x v="879"/>
    </i>
    <i r="1">
      <x/>
    </i>
    <i r="2">
      <x/>
    </i>
    <i r="3">
      <x/>
    </i>
    <i>
      <x v="880"/>
    </i>
    <i r="1">
      <x/>
    </i>
    <i r="2">
      <x/>
    </i>
    <i r="3">
      <x/>
    </i>
    <i>
      <x v="881"/>
    </i>
    <i r="1">
      <x/>
    </i>
    <i r="2">
      <x/>
    </i>
    <i r="3">
      <x/>
    </i>
    <i>
      <x v="882"/>
    </i>
    <i r="1">
      <x/>
    </i>
    <i r="2">
      <x/>
    </i>
    <i r="3">
      <x/>
    </i>
    <i>
      <x v="883"/>
    </i>
    <i r="1">
      <x/>
    </i>
    <i r="2">
      <x/>
    </i>
    <i r="3">
      <x/>
    </i>
    <i>
      <x v="884"/>
    </i>
    <i r="1">
      <x/>
    </i>
    <i r="2">
      <x/>
    </i>
    <i r="3">
      <x/>
    </i>
    <i>
      <x v="885"/>
    </i>
    <i r="1">
      <x/>
    </i>
    <i r="2">
      <x/>
    </i>
    <i r="3">
      <x/>
    </i>
    <i>
      <x v="886"/>
    </i>
    <i r="1">
      <x/>
    </i>
    <i r="2">
      <x/>
    </i>
    <i r="3">
      <x/>
    </i>
    <i>
      <x v="887"/>
    </i>
    <i r="1">
      <x/>
    </i>
    <i r="2">
      <x/>
    </i>
    <i r="3">
      <x/>
    </i>
    <i>
      <x v="888"/>
    </i>
    <i r="1">
      <x/>
    </i>
    <i r="2">
      <x/>
    </i>
    <i r="3">
      <x/>
    </i>
    <i>
      <x v="889"/>
    </i>
    <i r="1">
      <x/>
    </i>
    <i r="2">
      <x/>
    </i>
    <i r="3">
      <x/>
    </i>
    <i>
      <x v="890"/>
    </i>
    <i r="1">
      <x/>
    </i>
    <i r="2">
      <x/>
    </i>
    <i r="3">
      <x/>
    </i>
    <i>
      <x v="891"/>
    </i>
    <i r="1">
      <x/>
    </i>
    <i r="2">
      <x/>
    </i>
    <i r="3">
      <x/>
    </i>
    <i>
      <x v="892"/>
    </i>
    <i r="1">
      <x/>
    </i>
    <i r="2">
      <x/>
    </i>
    <i r="3">
      <x/>
    </i>
    <i>
      <x v="893"/>
    </i>
    <i r="1">
      <x/>
    </i>
    <i r="2">
      <x/>
    </i>
    <i r="3">
      <x/>
    </i>
    <i>
      <x v="894"/>
    </i>
    <i r="1">
      <x/>
    </i>
    <i r="2">
      <x/>
    </i>
    <i r="3">
      <x/>
    </i>
    <i>
      <x v="895"/>
    </i>
    <i r="1">
      <x/>
    </i>
    <i r="2">
      <x/>
    </i>
    <i r="3">
      <x/>
    </i>
    <i>
      <x v="896"/>
    </i>
    <i r="1">
      <x/>
    </i>
    <i r="2">
      <x/>
    </i>
    <i r="3">
      <x/>
    </i>
    <i>
      <x v="897"/>
    </i>
    <i r="1">
      <x/>
    </i>
    <i r="2">
      <x/>
    </i>
    <i r="3">
      <x/>
    </i>
    <i>
      <x v="898"/>
    </i>
    <i r="1">
      <x/>
    </i>
    <i r="2">
      <x/>
    </i>
    <i r="3">
      <x/>
    </i>
    <i>
      <x v="899"/>
    </i>
    <i r="1">
      <x/>
    </i>
    <i r="2">
      <x/>
    </i>
    <i r="3">
      <x/>
    </i>
    <i>
      <x v="900"/>
    </i>
    <i r="1">
      <x/>
    </i>
    <i r="2">
      <x/>
    </i>
    <i r="3">
      <x/>
    </i>
    <i>
      <x v="901"/>
    </i>
    <i r="1">
      <x/>
    </i>
    <i r="2">
      <x/>
    </i>
    <i r="3">
      <x/>
    </i>
    <i>
      <x v="902"/>
    </i>
    <i r="1">
      <x/>
    </i>
    <i r="2">
      <x/>
    </i>
    <i r="3">
      <x/>
    </i>
    <i>
      <x v="903"/>
    </i>
    <i r="1">
      <x/>
    </i>
    <i r="2">
      <x/>
    </i>
    <i r="3">
      <x/>
    </i>
    <i>
      <x v="904"/>
    </i>
    <i r="1">
      <x/>
    </i>
    <i r="2">
      <x/>
    </i>
    <i r="3">
      <x/>
    </i>
    <i>
      <x v="905"/>
    </i>
    <i r="1">
      <x/>
    </i>
    <i r="2">
      <x/>
    </i>
    <i r="3">
      <x/>
    </i>
    <i>
      <x v="906"/>
    </i>
    <i r="1">
      <x/>
    </i>
    <i r="2">
      <x/>
    </i>
    <i r="3">
      <x/>
    </i>
    <i>
      <x v="907"/>
    </i>
    <i r="1">
      <x/>
    </i>
    <i r="2">
      <x/>
    </i>
    <i r="3">
      <x/>
    </i>
    <i>
      <x v="908"/>
    </i>
    <i r="1">
      <x/>
    </i>
    <i r="2">
      <x/>
    </i>
    <i r="3">
      <x/>
    </i>
    <i>
      <x v="909"/>
    </i>
    <i r="1">
      <x/>
    </i>
    <i r="2">
      <x/>
    </i>
    <i r="3">
      <x/>
    </i>
    <i>
      <x v="910"/>
    </i>
    <i r="1">
      <x/>
    </i>
    <i r="2">
      <x/>
    </i>
    <i r="3">
      <x/>
    </i>
    <i>
      <x v="911"/>
    </i>
    <i r="1">
      <x/>
    </i>
    <i r="2">
      <x/>
    </i>
    <i r="3">
      <x/>
    </i>
    <i>
      <x v="912"/>
    </i>
    <i r="1">
      <x/>
    </i>
    <i r="2">
      <x/>
    </i>
    <i r="3">
      <x/>
    </i>
    <i>
      <x v="913"/>
    </i>
    <i r="1">
      <x/>
    </i>
    <i r="2">
      <x/>
    </i>
    <i r="3">
      <x/>
    </i>
    <i>
      <x v="914"/>
    </i>
    <i r="1">
      <x/>
    </i>
    <i r="2">
      <x/>
    </i>
    <i r="3">
      <x/>
    </i>
    <i>
      <x v="915"/>
    </i>
    <i r="1">
      <x/>
    </i>
    <i r="2">
      <x/>
    </i>
    <i r="3">
      <x/>
    </i>
    <i>
      <x v="916"/>
    </i>
    <i r="1">
      <x/>
    </i>
    <i r="2">
      <x/>
    </i>
    <i r="3">
      <x/>
    </i>
    <i>
      <x v="917"/>
    </i>
    <i r="1">
      <x/>
    </i>
    <i r="2">
      <x/>
    </i>
    <i r="3">
      <x/>
    </i>
    <i>
      <x v="918"/>
    </i>
    <i r="1">
      <x/>
    </i>
    <i r="2">
      <x/>
    </i>
    <i r="3">
      <x/>
    </i>
    <i>
      <x v="919"/>
    </i>
    <i r="1">
      <x/>
    </i>
    <i r="2">
      <x/>
    </i>
    <i r="3">
      <x/>
    </i>
    <i>
      <x v="920"/>
    </i>
    <i r="1">
      <x/>
    </i>
    <i r="2">
      <x/>
    </i>
    <i r="3">
      <x/>
    </i>
    <i>
      <x v="921"/>
    </i>
    <i r="1">
      <x/>
    </i>
    <i r="2">
      <x/>
    </i>
    <i r="3">
      <x/>
    </i>
    <i>
      <x v="922"/>
    </i>
    <i r="1">
      <x/>
    </i>
    <i r="2">
      <x/>
    </i>
    <i r="3">
      <x/>
    </i>
    <i>
      <x v="923"/>
    </i>
    <i r="1">
      <x/>
    </i>
    <i r="2">
      <x/>
    </i>
    <i r="3">
      <x/>
    </i>
    <i>
      <x v="924"/>
    </i>
    <i r="1">
      <x/>
    </i>
    <i r="2">
      <x/>
    </i>
    <i r="3">
      <x/>
    </i>
    <i>
      <x v="925"/>
    </i>
    <i r="1">
      <x/>
    </i>
    <i r="2">
      <x/>
    </i>
    <i r="3">
      <x/>
    </i>
    <i>
      <x v="926"/>
    </i>
    <i r="1">
      <x/>
    </i>
    <i r="2">
      <x/>
    </i>
    <i r="3">
      <x/>
    </i>
    <i>
      <x v="927"/>
    </i>
    <i r="1">
      <x/>
    </i>
    <i r="2">
      <x/>
    </i>
    <i r="3">
      <x/>
    </i>
    <i>
      <x v="928"/>
    </i>
    <i r="1">
      <x/>
    </i>
    <i r="2">
      <x/>
    </i>
    <i r="3">
      <x/>
    </i>
    <i>
      <x v="929"/>
    </i>
    <i r="1">
      <x/>
    </i>
    <i r="2">
      <x/>
    </i>
    <i r="3">
      <x/>
    </i>
    <i>
      <x v="930"/>
    </i>
    <i r="1">
      <x/>
    </i>
    <i r="2">
      <x/>
    </i>
    <i r="3">
      <x/>
    </i>
    <i>
      <x v="931"/>
    </i>
    <i r="1">
      <x/>
    </i>
    <i r="2">
      <x/>
    </i>
    <i r="3">
      <x/>
    </i>
    <i>
      <x v="932"/>
    </i>
    <i r="1">
      <x/>
    </i>
    <i r="2">
      <x/>
    </i>
    <i r="3">
      <x/>
    </i>
    <i>
      <x v="933"/>
    </i>
    <i r="1">
      <x/>
    </i>
    <i r="2">
      <x/>
    </i>
    <i r="3">
      <x/>
    </i>
    <i>
      <x v="934"/>
    </i>
    <i r="1">
      <x/>
    </i>
    <i r="2">
      <x/>
    </i>
    <i r="3">
      <x/>
    </i>
    <i>
      <x v="935"/>
    </i>
    <i r="1">
      <x/>
    </i>
    <i r="2">
      <x/>
    </i>
    <i r="3">
      <x/>
    </i>
    <i>
      <x v="936"/>
    </i>
    <i r="1">
      <x/>
    </i>
    <i r="2">
      <x/>
    </i>
    <i r="3">
      <x/>
    </i>
    <i>
      <x v="937"/>
    </i>
    <i r="1">
      <x/>
    </i>
    <i r="2">
      <x/>
    </i>
    <i r="3">
      <x/>
    </i>
    <i>
      <x v="938"/>
    </i>
    <i r="1">
      <x/>
    </i>
    <i r="2">
      <x/>
    </i>
    <i r="3">
      <x/>
    </i>
    <i>
      <x v="939"/>
    </i>
    <i r="1">
      <x/>
    </i>
    <i r="2">
      <x/>
    </i>
    <i r="3">
      <x/>
    </i>
    <i>
      <x v="940"/>
    </i>
    <i r="1">
      <x/>
    </i>
    <i r="2">
      <x/>
    </i>
    <i r="3">
      <x/>
    </i>
    <i>
      <x v="941"/>
    </i>
    <i r="1">
      <x/>
    </i>
    <i r="2">
      <x/>
    </i>
    <i r="3">
      <x/>
    </i>
    <i>
      <x v="942"/>
    </i>
    <i r="1">
      <x/>
    </i>
    <i r="2">
      <x/>
    </i>
    <i r="3">
      <x/>
    </i>
    <i>
      <x v="943"/>
    </i>
    <i r="1">
      <x/>
    </i>
    <i r="2">
      <x/>
    </i>
    <i r="3">
      <x/>
    </i>
    <i>
      <x v="944"/>
    </i>
    <i r="1">
      <x/>
    </i>
    <i r="2">
      <x/>
    </i>
    <i r="3">
      <x/>
    </i>
    <i>
      <x v="945"/>
    </i>
    <i r="1">
      <x/>
    </i>
    <i r="2">
      <x/>
    </i>
    <i r="3">
      <x/>
    </i>
    <i>
      <x v="946"/>
    </i>
    <i r="1">
      <x/>
    </i>
    <i r="2">
      <x/>
    </i>
    <i r="3">
      <x/>
    </i>
    <i>
      <x v="947"/>
    </i>
    <i r="1">
      <x/>
    </i>
    <i r="2">
      <x/>
    </i>
    <i r="3">
      <x/>
    </i>
    <i>
      <x v="948"/>
    </i>
    <i r="1">
      <x/>
    </i>
    <i r="2">
      <x/>
    </i>
    <i r="3">
      <x/>
    </i>
    <i>
      <x v="949"/>
    </i>
    <i r="1">
      <x/>
    </i>
    <i r="2">
      <x/>
    </i>
    <i r="3">
      <x/>
    </i>
    <i>
      <x v="950"/>
    </i>
    <i r="1">
      <x/>
    </i>
    <i r="2">
      <x/>
    </i>
    <i r="3">
      <x/>
    </i>
    <i>
      <x v="951"/>
    </i>
    <i r="1">
      <x/>
    </i>
    <i r="2">
      <x/>
    </i>
    <i r="3">
      <x/>
    </i>
    <i>
      <x v="952"/>
    </i>
    <i r="1">
      <x/>
    </i>
    <i r="2">
      <x/>
    </i>
    <i r="3">
      <x/>
    </i>
    <i>
      <x v="953"/>
    </i>
    <i r="1">
      <x/>
    </i>
    <i r="2">
      <x/>
    </i>
    <i r="3">
      <x/>
    </i>
    <i>
      <x v="954"/>
    </i>
    <i r="1">
      <x/>
    </i>
    <i r="2">
      <x/>
    </i>
    <i r="3">
      <x/>
    </i>
    <i>
      <x v="955"/>
    </i>
    <i r="1">
      <x/>
    </i>
    <i r="2">
      <x/>
    </i>
    <i r="3">
      <x/>
    </i>
    <i>
      <x v="956"/>
    </i>
    <i r="1">
      <x/>
    </i>
    <i r="2">
      <x/>
    </i>
    <i r="3">
      <x/>
    </i>
    <i>
      <x v="957"/>
    </i>
    <i r="1">
      <x/>
    </i>
    <i r="2">
      <x/>
    </i>
    <i r="3">
      <x/>
    </i>
    <i>
      <x v="958"/>
    </i>
    <i r="1">
      <x/>
    </i>
    <i r="2">
      <x/>
    </i>
    <i r="3">
      <x/>
    </i>
    <i>
      <x v="959"/>
    </i>
    <i r="1">
      <x/>
    </i>
    <i r="2">
      <x/>
    </i>
    <i r="3">
      <x/>
    </i>
    <i>
      <x v="960"/>
    </i>
    <i r="1">
      <x/>
    </i>
    <i r="2">
      <x/>
    </i>
    <i r="3">
      <x/>
    </i>
    <i>
      <x v="961"/>
    </i>
    <i r="1">
      <x/>
    </i>
    <i r="2">
      <x/>
    </i>
    <i r="3">
      <x/>
    </i>
    <i>
      <x v="962"/>
    </i>
    <i r="1">
      <x/>
    </i>
    <i r="2">
      <x/>
    </i>
    <i r="3">
      <x/>
    </i>
    <i>
      <x v="963"/>
    </i>
    <i r="1">
      <x/>
    </i>
    <i r="2">
      <x/>
    </i>
    <i r="3">
      <x/>
    </i>
    <i>
      <x v="964"/>
    </i>
    <i r="1">
      <x/>
    </i>
    <i r="2">
      <x/>
    </i>
    <i r="3">
      <x/>
    </i>
    <i>
      <x v="965"/>
    </i>
    <i r="1">
      <x/>
    </i>
    <i r="2">
      <x/>
    </i>
    <i r="3">
      <x/>
    </i>
    <i>
      <x v="966"/>
    </i>
    <i r="1">
      <x/>
    </i>
    <i r="2">
      <x/>
    </i>
    <i r="3">
      <x/>
    </i>
    <i>
      <x v="967"/>
    </i>
    <i r="1">
      <x/>
    </i>
    <i r="2">
      <x/>
    </i>
    <i r="3">
      <x/>
    </i>
    <i>
      <x v="968"/>
    </i>
    <i r="1">
      <x/>
    </i>
    <i r="2">
      <x/>
    </i>
    <i r="3">
      <x/>
    </i>
    <i>
      <x v="969"/>
    </i>
    <i r="1">
      <x/>
    </i>
    <i r="2">
      <x/>
    </i>
    <i r="3">
      <x/>
    </i>
    <i>
      <x v="970"/>
    </i>
    <i r="1">
      <x/>
    </i>
    <i r="2">
      <x/>
    </i>
    <i r="3">
      <x/>
    </i>
    <i>
      <x v="971"/>
    </i>
    <i r="1">
      <x/>
    </i>
    <i r="2">
      <x/>
    </i>
    <i r="3">
      <x/>
    </i>
    <i>
      <x v="972"/>
    </i>
    <i r="1">
      <x/>
    </i>
    <i r="2">
      <x/>
    </i>
    <i r="3">
      <x/>
    </i>
    <i>
      <x v="973"/>
    </i>
    <i r="1">
      <x/>
    </i>
    <i r="2">
      <x/>
    </i>
    <i r="3">
      <x/>
    </i>
    <i>
      <x v="974"/>
    </i>
    <i r="1">
      <x/>
    </i>
    <i r="2">
      <x/>
    </i>
    <i r="3">
      <x/>
    </i>
    <i>
      <x v="975"/>
    </i>
    <i r="1">
      <x/>
    </i>
    <i r="2">
      <x/>
    </i>
    <i r="3">
      <x/>
    </i>
    <i>
      <x v="976"/>
    </i>
    <i r="1">
      <x/>
    </i>
    <i r="2">
      <x/>
    </i>
    <i r="3">
      <x/>
    </i>
    <i>
      <x v="977"/>
    </i>
    <i r="1">
      <x/>
    </i>
    <i r="2">
      <x/>
    </i>
    <i r="3">
      <x/>
    </i>
    <i>
      <x v="978"/>
    </i>
    <i r="1">
      <x/>
    </i>
    <i r="2">
      <x/>
    </i>
    <i r="3">
      <x/>
    </i>
    <i>
      <x v="979"/>
    </i>
    <i r="1">
      <x/>
    </i>
    <i r="2">
      <x/>
    </i>
    <i r="3">
      <x/>
    </i>
    <i>
      <x v="980"/>
    </i>
    <i r="1">
      <x/>
    </i>
    <i r="2">
      <x/>
    </i>
    <i r="3">
      <x/>
    </i>
    <i>
      <x v="981"/>
    </i>
    <i r="1">
      <x/>
    </i>
    <i r="2">
      <x/>
    </i>
    <i r="3">
      <x/>
    </i>
    <i>
      <x v="982"/>
    </i>
    <i r="1">
      <x/>
    </i>
    <i r="2">
      <x/>
    </i>
    <i r="3">
      <x/>
    </i>
    <i>
      <x v="983"/>
    </i>
    <i r="1">
      <x/>
    </i>
    <i r="2">
      <x/>
    </i>
    <i r="3">
      <x/>
    </i>
    <i>
      <x v="984"/>
    </i>
    <i r="1">
      <x/>
    </i>
    <i r="2">
      <x/>
    </i>
    <i r="3">
      <x/>
    </i>
    <i>
      <x v="985"/>
    </i>
    <i r="1">
      <x/>
    </i>
    <i r="2">
      <x/>
    </i>
    <i r="3">
      <x/>
    </i>
    <i>
      <x v="986"/>
    </i>
    <i r="1">
      <x/>
    </i>
    <i r="2">
      <x/>
    </i>
    <i r="3">
      <x/>
    </i>
    <i>
      <x v="987"/>
    </i>
    <i r="1">
      <x/>
    </i>
    <i r="2">
      <x/>
    </i>
    <i r="3">
      <x/>
    </i>
    <i>
      <x v="988"/>
    </i>
    <i r="1">
      <x/>
    </i>
    <i r="2">
      <x/>
    </i>
    <i r="3">
      <x/>
    </i>
    <i>
      <x v="989"/>
    </i>
    <i r="1">
      <x/>
    </i>
    <i r="2">
      <x/>
    </i>
    <i r="3">
      <x/>
    </i>
    <i>
      <x v="990"/>
    </i>
    <i r="1">
      <x/>
    </i>
    <i r="2">
      <x/>
    </i>
    <i r="3">
      <x/>
    </i>
    <i>
      <x v="991"/>
    </i>
    <i r="1">
      <x/>
    </i>
    <i r="2">
      <x/>
    </i>
    <i r="3">
      <x/>
    </i>
    <i>
      <x v="992"/>
    </i>
    <i r="1">
      <x/>
    </i>
    <i r="2">
      <x/>
    </i>
    <i r="3">
      <x/>
    </i>
    <i>
      <x v="993"/>
    </i>
    <i r="1">
      <x/>
    </i>
    <i r="2">
      <x/>
    </i>
    <i r="3">
      <x/>
    </i>
    <i>
      <x v="994"/>
    </i>
    <i r="1">
      <x/>
    </i>
    <i r="2">
      <x/>
    </i>
    <i r="3">
      <x/>
    </i>
    <i>
      <x v="995"/>
    </i>
    <i r="1">
      <x/>
    </i>
    <i r="2">
      <x/>
    </i>
    <i r="3">
      <x/>
    </i>
    <i>
      <x v="996"/>
    </i>
    <i r="1">
      <x/>
    </i>
    <i r="2">
      <x/>
    </i>
    <i r="3">
      <x/>
    </i>
    <i>
      <x v="997"/>
    </i>
    <i r="1">
      <x/>
    </i>
    <i r="2">
      <x/>
    </i>
    <i r="3">
      <x/>
    </i>
    <i>
      <x v="998"/>
    </i>
    <i r="1">
      <x/>
    </i>
    <i r="2">
      <x/>
    </i>
    <i r="3">
      <x/>
    </i>
    <i>
      <x v="999"/>
    </i>
    <i r="1">
      <x/>
    </i>
    <i r="2">
      <x/>
    </i>
    <i r="3">
      <x/>
    </i>
    <i t="grand">
      <x/>
    </i>
  </rowItems>
  <colItems count="1">
    <i/>
  </colItems>
  <dataFields count="1">
    <dataField name="Sum of Starting Balanace" fld="14" baseField="0" baseItem="0"/>
  </dataFields>
  <formats count="2">
    <format dxfId="91">
      <pivotArea dataOnly="0" labelOnly="1" outline="0" axis="axisValues" fieldPosition="0"/>
    </format>
    <format dxfId="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2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V4:X7" firstHeaderRow="1" firstDataRow="2" firstDataCol="1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h="1" x="1"/>
        <item m="1" x="2"/>
        <item x="0"/>
        <item t="default"/>
      </items>
    </pivotField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2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nL %" fld="20" subtotal="average" baseField="21" baseItem="0"/>
    <dataField name="Average of Risk" fld="4" subtotal="average" baseField="21" baseItem="0"/>
  </dataFields>
  <formats count="7">
    <format dxfId="98">
      <pivotArea outline="0" collapsedLevelsAreSubtotals="1" fieldPosition="0"/>
    </format>
    <format dxfId="97">
      <pivotArea collapsedLevelsAreSubtotals="1" fieldPosition="0">
        <references count="2">
          <reference field="4294967294" count="1" selected="0">
            <x v="0"/>
          </reference>
          <reference field="22" count="1">
            <x v="1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0"/>
          </reference>
          <reference field="22" count="1">
            <x v="2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22" count="1">
            <x v="1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22" count="1">
            <x v="2"/>
          </reference>
        </references>
      </pivotArea>
    </format>
    <format dxfId="93">
      <pivotArea field="2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2">
      <pivotArea field="2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2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B4:AC6" firstHeaderRow="1" firstDataRow="1" firstDataCol="1"/>
  <pivotFields count="26">
    <pivotField dataField="1"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9"/>
  </rowFields>
  <rowItems count="2">
    <i>
      <x v="2"/>
    </i>
    <i t="grand">
      <x/>
    </i>
  </rowItems>
  <colItems count="1">
    <i/>
  </colItems>
  <dataFields count="1">
    <dataField name="Count of #" fld="0" subtotal="count" baseField="9" baseItem="1"/>
  </dataFields>
  <formats count="1">
    <format dxfId="9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2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H4:AH5" firstHeaderRow="1" firstDataRow="1" firstDataCol="0"/>
  <pivotFields count="26">
    <pivotField showAll="0"/>
    <pivotField numFmtId="14" showAll="0">
      <items count="369"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4">
        <item x="0"/>
        <item x="1"/>
        <item x="2"/>
        <item t="default"/>
      </items>
    </pivotField>
  </pivotFields>
  <rowItems count="1">
    <i/>
  </rowItems>
  <colItems count="1">
    <i/>
  </colItems>
  <dataFields count="1">
    <dataField name="Average of RR Exit" fld="19" subtotal="average" baseField="22" baseItem="1" numFmtId="2"/>
  </dataFields>
  <formats count="1">
    <format dxfId="10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C00000"/>
      </a:accent2>
      <a:accent3>
        <a:srgbClr val="A5A5A5"/>
      </a:accent3>
      <a:accent4>
        <a:srgbClr val="FFC000"/>
      </a:accent4>
      <a:accent5>
        <a:srgbClr val="C00000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tabSelected="1" workbookViewId="0">
      <pane ySplit="1" topLeftCell="A2" activePane="bottomLeft" state="frozen"/>
      <selection activeCell="B1" sqref="B1"/>
      <selection pane="bottomLeft" activeCell="A2" sqref="A2:X11"/>
    </sheetView>
  </sheetViews>
  <sheetFormatPr defaultRowHeight="15" x14ac:dyDescent="0.25"/>
  <cols>
    <col min="1" max="1" width="18.85546875" customWidth="1"/>
    <col min="2" max="2" width="10.28515625" bestFit="1" customWidth="1"/>
    <col min="3" max="3" width="11.140625" bestFit="1" customWidth="1"/>
    <col min="4" max="4" width="15" customWidth="1"/>
    <col min="5" max="5" width="10.42578125" bestFit="1" customWidth="1"/>
    <col min="6" max="6" width="15.140625" bestFit="1" customWidth="1"/>
    <col min="9" max="9" width="10.140625" bestFit="1" customWidth="1"/>
    <col min="11" max="11" width="8.140625" bestFit="1" customWidth="1"/>
    <col min="12" max="12" width="20" bestFit="1" customWidth="1"/>
    <col min="14" max="14" width="8.140625" bestFit="1" customWidth="1"/>
    <col min="15" max="15" width="20" bestFit="1" customWidth="1"/>
    <col min="18" max="18" width="10" customWidth="1"/>
    <col min="19" max="19" width="12" bestFit="1" customWidth="1"/>
    <col min="20" max="20" width="10" customWidth="1"/>
    <col min="21" max="21" width="10.28515625" style="202" bestFit="1" customWidth="1"/>
    <col min="22" max="22" width="9.140625" style="199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D5" sqref="D5"/>
    </sheetView>
  </sheetViews>
  <sheetFormatPr defaultRowHeight="15" x14ac:dyDescent="0.25"/>
  <cols>
    <col min="1" max="1" width="17.5703125" bestFit="1" customWidth="1"/>
    <col min="2" max="2" width="10.140625" bestFit="1" customWidth="1"/>
  </cols>
  <sheetData>
    <row r="1" spans="1:2" x14ac:dyDescent="0.25">
      <c r="A1" t="s">
        <v>25</v>
      </c>
    </row>
    <row r="3" spans="1:2" x14ac:dyDescent="0.25">
      <c r="A3" t="s">
        <v>26</v>
      </c>
      <c r="B3" s="197">
        <f>COUNTIFS(CurrentMonth!B:B, "&gt;="&amp;DATE(2024,8,1), CurrentMonth!B:B, "&lt;"&amp;DATE(2024,9,1), CurrentMonth!F:F, "Long")</f>
        <v>0</v>
      </c>
    </row>
    <row r="4" spans="1:2" x14ac:dyDescent="0.25">
      <c r="A4" t="s">
        <v>27</v>
      </c>
      <c r="B4" s="197">
        <f>COUNTIFS(CurrentMonth!B:B, "&gt;="&amp;DATE(2024,8,1), CurrentMonth!B:B, "&lt;"&amp;DATE(2024,9,1), CurrentMonth!F:F, "Short")</f>
        <v>0</v>
      </c>
    </row>
    <row r="6" spans="1:2" x14ac:dyDescent="0.25">
      <c r="A6" t="s">
        <v>28</v>
      </c>
      <c r="B6" s="197">
        <f>COUNTIFS(CurrentMonth!B:B, "&gt;="&amp;DATE(2024,8,1), CurrentMonth!B:B, "&lt;"&amp;DATE(2024,9,1), CurrentMonth!F:F, "Long", CurrentMonth!V:V, "&gt;0")</f>
        <v>0</v>
      </c>
    </row>
    <row r="7" spans="1:2" x14ac:dyDescent="0.25">
      <c r="A7" t="s">
        <v>29</v>
      </c>
      <c r="B7" s="35" t="e">
        <f>B6/B3</f>
        <v>#DIV/0!</v>
      </c>
    </row>
    <row r="8" spans="1:2" x14ac:dyDescent="0.25">
      <c r="B8" s="35"/>
    </row>
    <row r="9" spans="1:2" x14ac:dyDescent="0.25">
      <c r="A9" t="s">
        <v>30</v>
      </c>
      <c r="B9" s="197">
        <f>COUNTIFS(CurrentMonth!B:B, "&gt;="&amp;DATE(2024,8,1), CurrentMonth!B:B, "&lt;"&amp;DATE(2024,9,1), CurrentMonth!F:F, "Short", CurrentMonth!V:V, "&gt;0")</f>
        <v>0</v>
      </c>
    </row>
    <row r="10" spans="1:2" x14ac:dyDescent="0.25">
      <c r="A10" t="s">
        <v>31</v>
      </c>
      <c r="B10" s="198" t="e">
        <f>B9/B4</f>
        <v>#DIV/0!</v>
      </c>
    </row>
    <row r="11" spans="1:2" x14ac:dyDescent="0.25">
      <c r="B11" s="198"/>
    </row>
    <row r="12" spans="1:2" x14ac:dyDescent="0.25">
      <c r="A12" t="s">
        <v>32</v>
      </c>
      <c r="B12" s="203">
        <f>SUMIFS(CurrentMonth!V:V, CurrentMonth!B:B, "&gt;="&amp;DATE(2024,8,1), CurrentMonth!B:B, "&lt;"&amp;DATE(2024,9,1), CurrentMonth!F:F, "Long", CurrentMonth!V:V, "&gt;0")</f>
        <v>0</v>
      </c>
    </row>
    <row r="13" spans="1:2" x14ac:dyDescent="0.25">
      <c r="A13" t="s">
        <v>33</v>
      </c>
      <c r="B13" s="203">
        <f>SUMIFS(CurrentMonth!T:T, CurrentMonth!B:B, "&gt;="&amp;DATE(2024,8,1), CurrentMonth!B:B, "&lt;"&amp;DATE(2024,9,1), CurrentMonth!F:F, "Short", CurrentMonth!T:T, "&gt;0")</f>
        <v>0</v>
      </c>
    </row>
    <row r="15" spans="1:2" x14ac:dyDescent="0.25">
      <c r="A15" t="s">
        <v>34</v>
      </c>
      <c r="B15" s="200">
        <f>SUMIFS(CurrentMonth!V:V, CurrentMonth!B:B, "&gt;="&amp;DATE(2024,8,1), CurrentMonth!B:B, "&lt;"&amp;DATE(2024,9,1), CurrentMonth!F:F, "Long", CurrentMonth!I:I, "&lt;&gt;")</f>
        <v>0</v>
      </c>
    </row>
    <row r="16" spans="1:2" x14ac:dyDescent="0.25">
      <c r="A16" t="s">
        <v>35</v>
      </c>
      <c r="B16" s="200">
        <f>SUMIFS(CurrentMonth!V:V, CurrentMonth!B:B, "&gt;="&amp;DATE(2024,8,1), CurrentMonth!B:B, "&lt;"&amp;DATE(2024,9,1), CurrentMonth!F:F, "Short", CurrentMonth!I:I, "&lt;&gt;")</f>
        <v>0</v>
      </c>
    </row>
    <row r="17" spans="1:2" x14ac:dyDescent="0.25">
      <c r="B17" s="201"/>
    </row>
    <row r="18" spans="1:2" x14ac:dyDescent="0.25">
      <c r="A18" t="s">
        <v>36</v>
      </c>
      <c r="B18" s="200">
        <f>SUMIFS(CurrentMonth!V:V, CurrentMonth!B:B, "&gt;="&amp;DATE(2024,8,1), CurrentMonth!B:B, "&lt;"&amp;DATE(2024,9,1))</f>
        <v>0</v>
      </c>
    </row>
    <row r="19" spans="1:2" x14ac:dyDescent="0.25">
      <c r="A19" t="s">
        <v>37</v>
      </c>
      <c r="B19" s="200" t="e">
        <f>AVERAGEIFS(CurrentMonth!V:V, CurrentMonth!B:B, "&gt;="&amp;DATE(2024,8,1), CurrentMonth!B:B, "&lt;"&amp;DATE(2024,9,1))</f>
        <v>#DIV/0!</v>
      </c>
    </row>
    <row r="20" spans="1:2" x14ac:dyDescent="0.25">
      <c r="A20" t="s">
        <v>38</v>
      </c>
      <c r="B20" s="200">
        <f>_xlfn.MAXIFS(CurrentMonth!V:V, CurrentMonth!B:B, "&gt;="&amp;DATE(2024,8,1), CurrentMonth!B:B, "&lt;"&amp;DATE(2024,9,1))</f>
        <v>0</v>
      </c>
    </row>
    <row r="21" spans="1:2" x14ac:dyDescent="0.25">
      <c r="A21" t="s">
        <v>39</v>
      </c>
      <c r="B21" s="200">
        <f>_xlfn.MINIFS(CurrentMonth!V:V, CurrentMonth!B:B, "&gt;="&amp;DATE(2024,8,1), CurrentMonth!B:B, "&lt;"&amp;DATE(2024,9,1))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BP4001"/>
  <sheetViews>
    <sheetView topLeftCell="AS1" workbookViewId="0">
      <selection activeCell="BL20" sqref="BL20"/>
    </sheetView>
  </sheetViews>
  <sheetFormatPr defaultColWidth="8.7109375" defaultRowHeight="15" x14ac:dyDescent="0.25"/>
  <cols>
    <col min="1" max="1" width="14.42578125" bestFit="1" customWidth="1"/>
    <col min="2" max="2" width="18.5703125" bestFit="1" customWidth="1"/>
    <col min="6" max="6" width="14.42578125" bestFit="1" customWidth="1"/>
    <col min="7" max="7" width="12.7109375" bestFit="1" customWidth="1"/>
    <col min="11" max="11" width="14.42578125" bestFit="1" customWidth="1"/>
    <col min="12" max="12" width="14.7109375" bestFit="1" customWidth="1"/>
    <col min="15" max="16" width="13.7109375" bestFit="1" customWidth="1"/>
    <col min="22" max="22" width="13.140625" bestFit="1" customWidth="1"/>
    <col min="23" max="23" width="16.28515625" bestFit="1" customWidth="1"/>
    <col min="24" max="24" width="14.7109375" bestFit="1" customWidth="1"/>
    <col min="28" max="28" width="13.140625" bestFit="1" customWidth="1"/>
    <col min="29" max="29" width="10" bestFit="1" customWidth="1"/>
    <col min="34" max="35" width="17.28515625" bestFit="1" customWidth="1"/>
    <col min="36" max="36" width="17" bestFit="1" customWidth="1"/>
    <col min="37" max="37" width="15" bestFit="1" customWidth="1"/>
    <col min="38" max="38" width="13.140625" bestFit="1" customWidth="1"/>
    <col min="39" max="39" width="16.28515625" bestFit="1" customWidth="1"/>
    <col min="40" max="40" width="15.7109375" bestFit="1" customWidth="1"/>
    <col min="41" max="41" width="23.140625" bestFit="1" customWidth="1"/>
    <col min="42" max="42" width="23.140625" style="32" bestFit="1" customWidth="1"/>
    <col min="43" max="43" width="16.42578125" bestFit="1" customWidth="1"/>
    <col min="44" max="44" width="23.140625" bestFit="1" customWidth="1"/>
    <col min="47" max="47" width="13.140625" bestFit="1" customWidth="1"/>
    <col min="48" max="48" width="12.7109375" bestFit="1" customWidth="1"/>
    <col min="51" max="51" width="13.140625" bestFit="1" customWidth="1"/>
    <col min="52" max="52" width="12.42578125" bestFit="1" customWidth="1"/>
    <col min="56" max="57" width="12.42578125" bestFit="1" customWidth="1"/>
    <col min="60" max="60" width="13.140625" bestFit="1" customWidth="1"/>
    <col min="61" max="61" width="11.5703125" bestFit="1" customWidth="1"/>
    <col min="64" max="64" width="12.42578125" bestFit="1" customWidth="1"/>
    <col min="68" max="68" width="12.42578125" bestFit="1" customWidth="1"/>
  </cols>
  <sheetData>
    <row r="4" spans="1:68" x14ac:dyDescent="0.25">
      <c r="A4" s="15" t="s">
        <v>40</v>
      </c>
      <c r="B4" t="s">
        <v>41</v>
      </c>
      <c r="F4" s="15" t="s">
        <v>40</v>
      </c>
      <c r="G4" t="s">
        <v>42</v>
      </c>
      <c r="K4" s="15" t="s">
        <v>40</v>
      </c>
      <c r="L4" t="s">
        <v>43</v>
      </c>
      <c r="O4" s="233" t="s">
        <v>44</v>
      </c>
      <c r="W4" s="15" t="s">
        <v>45</v>
      </c>
      <c r="AB4" s="15" t="s">
        <v>40</v>
      </c>
      <c r="AC4" t="s">
        <v>46</v>
      </c>
      <c r="AH4" t="s">
        <v>47</v>
      </c>
      <c r="AJ4" t="s">
        <v>48</v>
      </c>
      <c r="AL4" s="234" t="s">
        <v>40</v>
      </c>
      <c r="AM4" s="234" t="s">
        <v>49</v>
      </c>
      <c r="AO4" s="233" t="s">
        <v>50</v>
      </c>
      <c r="AQ4" s="15" t="s">
        <v>40</v>
      </c>
      <c r="AR4" s="233" t="s">
        <v>50</v>
      </c>
      <c r="AU4" s="15" t="s">
        <v>40</v>
      </c>
      <c r="AV4" s="233" t="s">
        <v>51</v>
      </c>
      <c r="AW4" s="32"/>
      <c r="AY4" s="15" t="s">
        <v>40</v>
      </c>
      <c r="AZ4" s="233" t="s">
        <v>52</v>
      </c>
      <c r="BD4" s="233" t="s">
        <v>52</v>
      </c>
      <c r="BH4" s="15" t="s">
        <v>40</v>
      </c>
      <c r="BI4" s="233" t="s">
        <v>53</v>
      </c>
      <c r="BL4" s="233" t="s">
        <v>52</v>
      </c>
      <c r="BP4" s="233" t="s">
        <v>52</v>
      </c>
    </row>
    <row r="5" spans="1:68" x14ac:dyDescent="0.25">
      <c r="A5" s="16" t="s">
        <v>54</v>
      </c>
      <c r="B5" s="18" t="e">
        <v>#DIV/0!</v>
      </c>
      <c r="F5" s="16" t="s">
        <v>54</v>
      </c>
      <c r="G5" s="18">
        <v>0</v>
      </c>
      <c r="K5" s="16" t="s">
        <v>54</v>
      </c>
      <c r="L5" s="18"/>
      <c r="O5" s="233">
        <v>1</v>
      </c>
      <c r="V5" s="15" t="s">
        <v>40</v>
      </c>
      <c r="W5" t="s">
        <v>49</v>
      </c>
      <c r="X5" t="s">
        <v>43</v>
      </c>
      <c r="AB5" s="16" t="s">
        <v>55</v>
      </c>
      <c r="AC5" s="233">
        <v>1</v>
      </c>
      <c r="AH5" s="17">
        <v>4.5</v>
      </c>
      <c r="AJ5" s="17">
        <v>4.5</v>
      </c>
      <c r="AL5" s="234" t="s">
        <v>56</v>
      </c>
      <c r="AM5" s="235" t="e">
        <v>#DIV/0!</v>
      </c>
      <c r="AO5" s="35">
        <v>0</v>
      </c>
      <c r="AQ5" s="16">
        <v>2</v>
      </c>
      <c r="AR5" s="35"/>
      <c r="AU5" s="16" t="s">
        <v>57</v>
      </c>
      <c r="AV5" s="35">
        <v>3.6000000000000003E-3</v>
      </c>
      <c r="AY5" s="16" t="s">
        <v>58</v>
      </c>
      <c r="AZ5" s="35"/>
      <c r="BD5" s="35">
        <v>3.6000000000000003E-3</v>
      </c>
      <c r="BH5" s="16" t="s">
        <v>59</v>
      </c>
      <c r="BI5" s="233">
        <v>1</v>
      </c>
      <c r="BJ5" s="162">
        <f>GETPIVOTDATA("Hit",$BH$4,"Hit","PT1 Hit")/GETPIVOTDATA("Hit",$BH$4)</f>
        <v>1</v>
      </c>
      <c r="BL5" s="35">
        <v>3.6000000000000003E-3</v>
      </c>
      <c r="BP5" s="35">
        <v>3.6000000000000003E-3</v>
      </c>
    </row>
    <row r="6" spans="1:68" x14ac:dyDescent="0.25">
      <c r="A6" s="136" t="s">
        <v>54</v>
      </c>
      <c r="B6" s="18" t="e">
        <v>#DIV/0!</v>
      </c>
      <c r="F6" s="136" t="s">
        <v>54</v>
      </c>
      <c r="G6" s="18">
        <v>0</v>
      </c>
      <c r="K6" s="136" t="s">
        <v>54</v>
      </c>
      <c r="L6" s="18"/>
      <c r="V6" s="16" t="s">
        <v>57</v>
      </c>
      <c r="W6" s="35">
        <v>3.6000000000000003E-3</v>
      </c>
      <c r="X6" s="35">
        <v>8.0000000000000004E-4</v>
      </c>
      <c r="AB6" s="16" t="s">
        <v>58</v>
      </c>
      <c r="AC6" s="233">
        <v>1</v>
      </c>
      <c r="AL6" s="234" t="s">
        <v>58</v>
      </c>
      <c r="AM6" s="235" t="e">
        <v>#DIV/0!</v>
      </c>
      <c r="AQ6" s="136" t="s">
        <v>54</v>
      </c>
      <c r="AR6" s="35"/>
      <c r="AU6" s="16" t="s">
        <v>58</v>
      </c>
      <c r="AV6" s="35">
        <v>3.6000000000000003E-3</v>
      </c>
      <c r="BH6" s="16" t="s">
        <v>58</v>
      </c>
      <c r="BI6" s="233">
        <v>1</v>
      </c>
      <c r="BJ6" s="162" t="e">
        <f>GETPIVOTDATA("Hit",$BH$4,"Hit","PT2 Hit")/GETPIVOTDATA("Hit",$BH$4)</f>
        <v>#REF!</v>
      </c>
    </row>
    <row r="7" spans="1:68" x14ac:dyDescent="0.25">
      <c r="A7" s="137" t="s">
        <v>60</v>
      </c>
      <c r="B7" s="18" t="e">
        <v>#DIV/0!</v>
      </c>
      <c r="F7" s="137" t="s">
        <v>60</v>
      </c>
      <c r="G7" s="18">
        <v>0</v>
      </c>
      <c r="K7" s="137" t="s">
        <v>60</v>
      </c>
      <c r="L7" s="18"/>
      <c r="V7" s="16" t="s">
        <v>58</v>
      </c>
      <c r="W7" s="35">
        <v>3.6000000000000003E-3</v>
      </c>
      <c r="X7" s="35">
        <v>8.0000000000000004E-4</v>
      </c>
      <c r="AQ7" s="138" t="s">
        <v>54</v>
      </c>
      <c r="AR7" s="35"/>
      <c r="BJ7" s="162" t="e">
        <f>GETPIVOTDATA("Hit",$BH$4,"Hit","PT3 Hit")/GETPIVOTDATA("Hit",$BH$4)</f>
        <v>#REF!</v>
      </c>
    </row>
    <row r="8" spans="1:68" x14ac:dyDescent="0.25">
      <c r="A8" s="16" t="s">
        <v>58</v>
      </c>
      <c r="B8" s="18" t="e">
        <v>#DIV/0!</v>
      </c>
      <c r="F8" s="16" t="s">
        <v>58</v>
      </c>
      <c r="G8" s="18">
        <v>0</v>
      </c>
      <c r="K8" s="16" t="s">
        <v>58</v>
      </c>
      <c r="L8" s="18"/>
      <c r="AQ8" s="139" t="s">
        <v>60</v>
      </c>
      <c r="AR8" s="35"/>
      <c r="BJ8" s="162" t="e">
        <f>GETPIVOTDATA("Hit",$BH$4,"Hit","SL Hit")/GETPIVOTDATA("Hit",$BH$4)</f>
        <v>#REF!</v>
      </c>
    </row>
    <row r="9" spans="1:68" x14ac:dyDescent="0.25">
      <c r="AQ9" s="16">
        <v>3</v>
      </c>
      <c r="AR9" s="35"/>
    </row>
    <row r="10" spans="1:68" x14ac:dyDescent="0.25">
      <c r="AQ10" s="136" t="s">
        <v>54</v>
      </c>
      <c r="AR10" s="35"/>
    </row>
    <row r="11" spans="1:68" x14ac:dyDescent="0.25">
      <c r="AQ11" s="138" t="s">
        <v>54</v>
      </c>
      <c r="AR11" s="35"/>
    </row>
    <row r="12" spans="1:68" x14ac:dyDescent="0.25">
      <c r="AQ12" s="139" t="s">
        <v>60</v>
      </c>
      <c r="AR12" s="35"/>
    </row>
    <row r="13" spans="1:68" x14ac:dyDescent="0.25">
      <c r="AQ13" s="16">
        <v>4</v>
      </c>
      <c r="AR13" s="35"/>
    </row>
    <row r="14" spans="1:68" x14ac:dyDescent="0.25">
      <c r="AQ14" s="136" t="s">
        <v>54</v>
      </c>
      <c r="AR14" s="35"/>
    </row>
    <row r="15" spans="1:68" x14ac:dyDescent="0.25">
      <c r="AQ15" s="138" t="s">
        <v>54</v>
      </c>
      <c r="AR15" s="35"/>
    </row>
    <row r="16" spans="1:68" x14ac:dyDescent="0.25">
      <c r="AQ16" s="139" t="s">
        <v>60</v>
      </c>
      <c r="AR16" s="35"/>
    </row>
    <row r="17" spans="43:44" x14ac:dyDescent="0.25">
      <c r="AQ17" s="16">
        <v>5</v>
      </c>
      <c r="AR17" s="35"/>
    </row>
    <row r="18" spans="43:44" x14ac:dyDescent="0.25">
      <c r="AQ18" s="136" t="s">
        <v>54</v>
      </c>
      <c r="AR18" s="35"/>
    </row>
    <row r="19" spans="43:44" x14ac:dyDescent="0.25">
      <c r="AQ19" s="138" t="s">
        <v>54</v>
      </c>
      <c r="AR19" s="35"/>
    </row>
    <row r="20" spans="43:44" x14ac:dyDescent="0.25">
      <c r="AQ20" s="139" t="s">
        <v>60</v>
      </c>
      <c r="AR20" s="35"/>
    </row>
    <row r="21" spans="43:44" x14ac:dyDescent="0.25">
      <c r="AQ21" s="16">
        <v>6</v>
      </c>
      <c r="AR21" s="35"/>
    </row>
    <row r="22" spans="43:44" x14ac:dyDescent="0.25">
      <c r="AQ22" s="136" t="s">
        <v>54</v>
      </c>
      <c r="AR22" s="35"/>
    </row>
    <row r="23" spans="43:44" x14ac:dyDescent="0.25">
      <c r="AQ23" s="138" t="s">
        <v>54</v>
      </c>
      <c r="AR23" s="35"/>
    </row>
    <row r="24" spans="43:44" x14ac:dyDescent="0.25">
      <c r="AQ24" s="139" t="s">
        <v>60</v>
      </c>
      <c r="AR24" s="35"/>
    </row>
    <row r="25" spans="43:44" x14ac:dyDescent="0.25">
      <c r="AQ25" s="16">
        <v>7</v>
      </c>
      <c r="AR25" s="35"/>
    </row>
    <row r="26" spans="43:44" x14ac:dyDescent="0.25">
      <c r="AQ26" s="136" t="s">
        <v>54</v>
      </c>
      <c r="AR26" s="35"/>
    </row>
    <row r="27" spans="43:44" x14ac:dyDescent="0.25">
      <c r="AQ27" s="138" t="s">
        <v>54</v>
      </c>
      <c r="AR27" s="35"/>
    </row>
    <row r="28" spans="43:44" x14ac:dyDescent="0.25">
      <c r="AQ28" s="139" t="s">
        <v>60</v>
      </c>
      <c r="AR28" s="35"/>
    </row>
    <row r="29" spans="43:44" x14ac:dyDescent="0.25">
      <c r="AQ29" s="16">
        <v>8</v>
      </c>
      <c r="AR29" s="35"/>
    </row>
    <row r="30" spans="43:44" x14ac:dyDescent="0.25">
      <c r="AQ30" s="136" t="s">
        <v>54</v>
      </c>
      <c r="AR30" s="35"/>
    </row>
    <row r="31" spans="43:44" x14ac:dyDescent="0.25">
      <c r="AQ31" s="138" t="s">
        <v>54</v>
      </c>
      <c r="AR31" s="35"/>
    </row>
    <row r="32" spans="43:44" x14ac:dyDescent="0.25">
      <c r="AQ32" s="139" t="s">
        <v>60</v>
      </c>
      <c r="AR32" s="35"/>
    </row>
    <row r="33" spans="43:44" x14ac:dyDescent="0.25">
      <c r="AQ33" s="16">
        <v>9</v>
      </c>
      <c r="AR33" s="35"/>
    </row>
    <row r="34" spans="43:44" x14ac:dyDescent="0.25">
      <c r="AQ34" s="136" t="s">
        <v>54</v>
      </c>
      <c r="AR34" s="35"/>
    </row>
    <row r="35" spans="43:44" x14ac:dyDescent="0.25">
      <c r="AQ35" s="138" t="s">
        <v>54</v>
      </c>
      <c r="AR35" s="35"/>
    </row>
    <row r="36" spans="43:44" x14ac:dyDescent="0.25">
      <c r="AQ36" s="139" t="s">
        <v>60</v>
      </c>
      <c r="AR36" s="35"/>
    </row>
    <row r="37" spans="43:44" x14ac:dyDescent="0.25">
      <c r="AQ37" s="16">
        <v>10</v>
      </c>
      <c r="AR37" s="35"/>
    </row>
    <row r="38" spans="43:44" x14ac:dyDescent="0.25">
      <c r="AQ38" s="136" t="s">
        <v>54</v>
      </c>
      <c r="AR38" s="35"/>
    </row>
    <row r="39" spans="43:44" x14ac:dyDescent="0.25">
      <c r="AQ39" s="138" t="s">
        <v>54</v>
      </c>
      <c r="AR39" s="35"/>
    </row>
    <row r="40" spans="43:44" x14ac:dyDescent="0.25">
      <c r="AQ40" s="139" t="s">
        <v>60</v>
      </c>
      <c r="AR40" s="35"/>
    </row>
    <row r="41" spans="43:44" x14ac:dyDescent="0.25">
      <c r="AQ41" s="16">
        <v>11</v>
      </c>
      <c r="AR41" s="35"/>
    </row>
    <row r="42" spans="43:44" x14ac:dyDescent="0.25">
      <c r="AQ42" s="136" t="s">
        <v>54</v>
      </c>
      <c r="AR42" s="35"/>
    </row>
    <row r="43" spans="43:44" x14ac:dyDescent="0.25">
      <c r="AQ43" s="138" t="s">
        <v>54</v>
      </c>
      <c r="AR43" s="35"/>
    </row>
    <row r="44" spans="43:44" x14ac:dyDescent="0.25">
      <c r="AQ44" s="139" t="s">
        <v>60</v>
      </c>
      <c r="AR44" s="35"/>
    </row>
    <row r="45" spans="43:44" x14ac:dyDescent="0.25">
      <c r="AQ45" s="16">
        <v>12</v>
      </c>
      <c r="AR45" s="35"/>
    </row>
    <row r="46" spans="43:44" x14ac:dyDescent="0.25">
      <c r="AQ46" s="136" t="s">
        <v>54</v>
      </c>
      <c r="AR46" s="35"/>
    </row>
    <row r="47" spans="43:44" x14ac:dyDescent="0.25">
      <c r="AQ47" s="138" t="s">
        <v>54</v>
      </c>
      <c r="AR47" s="35"/>
    </row>
    <row r="48" spans="43:44" x14ac:dyDescent="0.25">
      <c r="AQ48" s="139" t="s">
        <v>60</v>
      </c>
      <c r="AR48" s="35"/>
    </row>
    <row r="49" spans="43:44" x14ac:dyDescent="0.25">
      <c r="AQ49" s="16">
        <v>13</v>
      </c>
      <c r="AR49" s="35"/>
    </row>
    <row r="50" spans="43:44" x14ac:dyDescent="0.25">
      <c r="AQ50" s="136" t="s">
        <v>54</v>
      </c>
      <c r="AR50" s="35"/>
    </row>
    <row r="51" spans="43:44" x14ac:dyDescent="0.25">
      <c r="AQ51" s="138" t="s">
        <v>54</v>
      </c>
      <c r="AR51" s="35"/>
    </row>
    <row r="52" spans="43:44" x14ac:dyDescent="0.25">
      <c r="AQ52" s="139" t="s">
        <v>60</v>
      </c>
      <c r="AR52" s="35"/>
    </row>
    <row r="53" spans="43:44" x14ac:dyDescent="0.25">
      <c r="AQ53" s="16">
        <v>14</v>
      </c>
      <c r="AR53" s="35"/>
    </row>
    <row r="54" spans="43:44" x14ac:dyDescent="0.25">
      <c r="AQ54" s="136" t="s">
        <v>54</v>
      </c>
      <c r="AR54" s="35"/>
    </row>
    <row r="55" spans="43:44" x14ac:dyDescent="0.25">
      <c r="AQ55" s="138" t="s">
        <v>54</v>
      </c>
      <c r="AR55" s="35"/>
    </row>
    <row r="56" spans="43:44" x14ac:dyDescent="0.25">
      <c r="AQ56" s="139" t="s">
        <v>60</v>
      </c>
      <c r="AR56" s="35"/>
    </row>
    <row r="57" spans="43:44" x14ac:dyDescent="0.25">
      <c r="AQ57" s="16">
        <v>15</v>
      </c>
      <c r="AR57" s="35"/>
    </row>
    <row r="58" spans="43:44" x14ac:dyDescent="0.25">
      <c r="AQ58" s="136" t="s">
        <v>54</v>
      </c>
      <c r="AR58" s="35"/>
    </row>
    <row r="59" spans="43:44" x14ac:dyDescent="0.25">
      <c r="AQ59" s="138" t="s">
        <v>54</v>
      </c>
      <c r="AR59" s="35"/>
    </row>
    <row r="60" spans="43:44" x14ac:dyDescent="0.25">
      <c r="AQ60" s="139" t="s">
        <v>60</v>
      </c>
      <c r="AR60" s="35"/>
    </row>
    <row r="61" spans="43:44" x14ac:dyDescent="0.25">
      <c r="AQ61" s="16">
        <v>16</v>
      </c>
      <c r="AR61" s="35"/>
    </row>
    <row r="62" spans="43:44" x14ac:dyDescent="0.25">
      <c r="AQ62" s="136" t="s">
        <v>54</v>
      </c>
      <c r="AR62" s="35"/>
    </row>
    <row r="63" spans="43:44" x14ac:dyDescent="0.25">
      <c r="AQ63" s="138" t="s">
        <v>54</v>
      </c>
      <c r="AR63" s="35"/>
    </row>
    <row r="64" spans="43:44" x14ac:dyDescent="0.25">
      <c r="AQ64" s="139" t="s">
        <v>60</v>
      </c>
      <c r="AR64" s="35"/>
    </row>
    <row r="65" spans="43:44" x14ac:dyDescent="0.25">
      <c r="AQ65" s="16">
        <v>17</v>
      </c>
      <c r="AR65" s="35"/>
    </row>
    <row r="66" spans="43:44" x14ac:dyDescent="0.25">
      <c r="AQ66" s="136" t="s">
        <v>54</v>
      </c>
      <c r="AR66" s="35"/>
    </row>
    <row r="67" spans="43:44" x14ac:dyDescent="0.25">
      <c r="AQ67" s="138" t="s">
        <v>54</v>
      </c>
      <c r="AR67" s="35"/>
    </row>
    <row r="68" spans="43:44" x14ac:dyDescent="0.25">
      <c r="AQ68" s="139" t="s">
        <v>60</v>
      </c>
      <c r="AR68" s="35"/>
    </row>
    <row r="69" spans="43:44" x14ac:dyDescent="0.25">
      <c r="AQ69" s="16">
        <v>18</v>
      </c>
      <c r="AR69" s="35"/>
    </row>
    <row r="70" spans="43:44" x14ac:dyDescent="0.25">
      <c r="AQ70" s="136" t="s">
        <v>54</v>
      </c>
      <c r="AR70" s="35"/>
    </row>
    <row r="71" spans="43:44" x14ac:dyDescent="0.25">
      <c r="AQ71" s="138" t="s">
        <v>54</v>
      </c>
      <c r="AR71" s="35"/>
    </row>
    <row r="72" spans="43:44" x14ac:dyDescent="0.25">
      <c r="AQ72" s="139" t="s">
        <v>60</v>
      </c>
      <c r="AR72" s="35"/>
    </row>
    <row r="73" spans="43:44" x14ac:dyDescent="0.25">
      <c r="AQ73" s="16">
        <v>19</v>
      </c>
      <c r="AR73" s="35"/>
    </row>
    <row r="74" spans="43:44" x14ac:dyDescent="0.25">
      <c r="AQ74" s="136" t="s">
        <v>54</v>
      </c>
      <c r="AR74" s="35"/>
    </row>
    <row r="75" spans="43:44" x14ac:dyDescent="0.25">
      <c r="AQ75" s="138" t="s">
        <v>54</v>
      </c>
      <c r="AR75" s="35"/>
    </row>
    <row r="76" spans="43:44" x14ac:dyDescent="0.25">
      <c r="AQ76" s="139" t="s">
        <v>60</v>
      </c>
      <c r="AR76" s="35"/>
    </row>
    <row r="77" spans="43:44" x14ac:dyDescent="0.25">
      <c r="AQ77" s="16">
        <v>20</v>
      </c>
      <c r="AR77" s="35"/>
    </row>
    <row r="78" spans="43:44" x14ac:dyDescent="0.25">
      <c r="AQ78" s="136" t="s">
        <v>54</v>
      </c>
      <c r="AR78" s="35"/>
    </row>
    <row r="79" spans="43:44" x14ac:dyDescent="0.25">
      <c r="AQ79" s="138" t="s">
        <v>54</v>
      </c>
      <c r="AR79" s="35"/>
    </row>
    <row r="80" spans="43:44" x14ac:dyDescent="0.25">
      <c r="AQ80" s="139" t="s">
        <v>60</v>
      </c>
      <c r="AR80" s="35"/>
    </row>
    <row r="81" spans="43:44" x14ac:dyDescent="0.25">
      <c r="AQ81" s="16">
        <v>21</v>
      </c>
      <c r="AR81" s="35"/>
    </row>
    <row r="82" spans="43:44" x14ac:dyDescent="0.25">
      <c r="AQ82" s="136" t="s">
        <v>54</v>
      </c>
      <c r="AR82" s="35"/>
    </row>
    <row r="83" spans="43:44" x14ac:dyDescent="0.25">
      <c r="AQ83" s="138" t="s">
        <v>54</v>
      </c>
      <c r="AR83" s="35"/>
    </row>
    <row r="84" spans="43:44" x14ac:dyDescent="0.25">
      <c r="AQ84" s="139" t="s">
        <v>60</v>
      </c>
      <c r="AR84" s="35"/>
    </row>
    <row r="85" spans="43:44" x14ac:dyDescent="0.25">
      <c r="AQ85" s="16">
        <v>22</v>
      </c>
      <c r="AR85" s="35"/>
    </row>
    <row r="86" spans="43:44" x14ac:dyDescent="0.25">
      <c r="AQ86" s="136" t="s">
        <v>54</v>
      </c>
      <c r="AR86" s="35"/>
    </row>
    <row r="87" spans="43:44" x14ac:dyDescent="0.25">
      <c r="AQ87" s="138" t="s">
        <v>54</v>
      </c>
      <c r="AR87" s="35"/>
    </row>
    <row r="88" spans="43:44" x14ac:dyDescent="0.25">
      <c r="AQ88" s="139" t="s">
        <v>60</v>
      </c>
      <c r="AR88" s="35"/>
    </row>
    <row r="89" spans="43:44" x14ac:dyDescent="0.25">
      <c r="AQ89" s="16">
        <v>23</v>
      </c>
      <c r="AR89" s="35"/>
    </row>
    <row r="90" spans="43:44" x14ac:dyDescent="0.25">
      <c r="AQ90" s="136" t="s">
        <v>54</v>
      </c>
      <c r="AR90" s="35"/>
    </row>
    <row r="91" spans="43:44" x14ac:dyDescent="0.25">
      <c r="AQ91" s="138" t="s">
        <v>54</v>
      </c>
      <c r="AR91" s="35"/>
    </row>
    <row r="92" spans="43:44" x14ac:dyDescent="0.25">
      <c r="AQ92" s="139" t="s">
        <v>60</v>
      </c>
      <c r="AR92" s="35"/>
    </row>
    <row r="93" spans="43:44" x14ac:dyDescent="0.25">
      <c r="AQ93" s="16">
        <v>24</v>
      </c>
      <c r="AR93" s="35"/>
    </row>
    <row r="94" spans="43:44" x14ac:dyDescent="0.25">
      <c r="AQ94" s="136" t="s">
        <v>54</v>
      </c>
      <c r="AR94" s="35"/>
    </row>
    <row r="95" spans="43:44" x14ac:dyDescent="0.25">
      <c r="AQ95" s="138" t="s">
        <v>54</v>
      </c>
      <c r="AR95" s="35"/>
    </row>
    <row r="96" spans="43:44" x14ac:dyDescent="0.25">
      <c r="AQ96" s="139" t="s">
        <v>60</v>
      </c>
      <c r="AR96" s="35"/>
    </row>
    <row r="97" spans="43:44" x14ac:dyDescent="0.25">
      <c r="AQ97" s="16">
        <v>25</v>
      </c>
      <c r="AR97" s="35"/>
    </row>
    <row r="98" spans="43:44" x14ac:dyDescent="0.25">
      <c r="AQ98" s="136" t="s">
        <v>54</v>
      </c>
      <c r="AR98" s="35"/>
    </row>
    <row r="99" spans="43:44" x14ac:dyDescent="0.25">
      <c r="AQ99" s="138" t="s">
        <v>54</v>
      </c>
      <c r="AR99" s="35"/>
    </row>
    <row r="100" spans="43:44" x14ac:dyDescent="0.25">
      <c r="AQ100" s="139" t="s">
        <v>60</v>
      </c>
      <c r="AR100" s="35"/>
    </row>
    <row r="101" spans="43:44" x14ac:dyDescent="0.25">
      <c r="AQ101" s="16">
        <v>26</v>
      </c>
      <c r="AR101" s="35"/>
    </row>
    <row r="102" spans="43:44" x14ac:dyDescent="0.25">
      <c r="AQ102" s="136" t="s">
        <v>54</v>
      </c>
      <c r="AR102" s="35"/>
    </row>
    <row r="103" spans="43:44" x14ac:dyDescent="0.25">
      <c r="AQ103" s="138" t="s">
        <v>54</v>
      </c>
      <c r="AR103" s="35"/>
    </row>
    <row r="104" spans="43:44" x14ac:dyDescent="0.25">
      <c r="AQ104" s="139" t="s">
        <v>60</v>
      </c>
      <c r="AR104" s="35"/>
    </row>
    <row r="105" spans="43:44" x14ac:dyDescent="0.25">
      <c r="AQ105" s="16">
        <v>27</v>
      </c>
      <c r="AR105" s="35"/>
    </row>
    <row r="106" spans="43:44" x14ac:dyDescent="0.25">
      <c r="AQ106" s="136" t="s">
        <v>54</v>
      </c>
      <c r="AR106" s="35"/>
    </row>
    <row r="107" spans="43:44" x14ac:dyDescent="0.25">
      <c r="AQ107" s="138" t="s">
        <v>54</v>
      </c>
      <c r="AR107" s="35"/>
    </row>
    <row r="108" spans="43:44" x14ac:dyDescent="0.25">
      <c r="AQ108" s="139" t="s">
        <v>60</v>
      </c>
      <c r="AR108" s="35"/>
    </row>
    <row r="109" spans="43:44" x14ac:dyDescent="0.25">
      <c r="AQ109" s="16">
        <v>28</v>
      </c>
      <c r="AR109" s="35"/>
    </row>
    <row r="110" spans="43:44" x14ac:dyDescent="0.25">
      <c r="AQ110" s="136" t="s">
        <v>54</v>
      </c>
      <c r="AR110" s="35"/>
    </row>
    <row r="111" spans="43:44" x14ac:dyDescent="0.25">
      <c r="AQ111" s="138" t="s">
        <v>54</v>
      </c>
      <c r="AR111" s="35"/>
    </row>
    <row r="112" spans="43:44" x14ac:dyDescent="0.25">
      <c r="AQ112" s="139" t="s">
        <v>60</v>
      </c>
      <c r="AR112" s="35"/>
    </row>
    <row r="113" spans="43:44" x14ac:dyDescent="0.25">
      <c r="AQ113" s="16">
        <v>29</v>
      </c>
      <c r="AR113" s="35"/>
    </row>
    <row r="114" spans="43:44" x14ac:dyDescent="0.25">
      <c r="AQ114" s="136" t="s">
        <v>54</v>
      </c>
      <c r="AR114" s="35"/>
    </row>
    <row r="115" spans="43:44" x14ac:dyDescent="0.25">
      <c r="AQ115" s="138" t="s">
        <v>54</v>
      </c>
      <c r="AR115" s="35"/>
    </row>
    <row r="116" spans="43:44" x14ac:dyDescent="0.25">
      <c r="AQ116" s="139" t="s">
        <v>60</v>
      </c>
      <c r="AR116" s="35"/>
    </row>
    <row r="117" spans="43:44" x14ac:dyDescent="0.25">
      <c r="AQ117" s="16">
        <v>30</v>
      </c>
      <c r="AR117" s="35"/>
    </row>
    <row r="118" spans="43:44" x14ac:dyDescent="0.25">
      <c r="AQ118" s="136" t="s">
        <v>54</v>
      </c>
      <c r="AR118" s="35"/>
    </row>
    <row r="119" spans="43:44" x14ac:dyDescent="0.25">
      <c r="AQ119" s="138" t="s">
        <v>54</v>
      </c>
      <c r="AR119" s="35"/>
    </row>
    <row r="120" spans="43:44" x14ac:dyDescent="0.25">
      <c r="AQ120" s="139" t="s">
        <v>60</v>
      </c>
      <c r="AR120" s="35"/>
    </row>
    <row r="121" spans="43:44" x14ac:dyDescent="0.25">
      <c r="AQ121" s="16">
        <v>31</v>
      </c>
      <c r="AR121" s="35"/>
    </row>
    <row r="122" spans="43:44" x14ac:dyDescent="0.25">
      <c r="AQ122" s="136" t="s">
        <v>54</v>
      </c>
      <c r="AR122" s="35"/>
    </row>
    <row r="123" spans="43:44" x14ac:dyDescent="0.25">
      <c r="AQ123" s="138" t="s">
        <v>54</v>
      </c>
      <c r="AR123" s="35"/>
    </row>
    <row r="124" spans="43:44" x14ac:dyDescent="0.25">
      <c r="AQ124" s="139" t="s">
        <v>60</v>
      </c>
      <c r="AR124" s="35"/>
    </row>
    <row r="125" spans="43:44" x14ac:dyDescent="0.25">
      <c r="AQ125" s="16">
        <v>32</v>
      </c>
      <c r="AR125" s="35"/>
    </row>
    <row r="126" spans="43:44" x14ac:dyDescent="0.25">
      <c r="AQ126" s="136" t="s">
        <v>54</v>
      </c>
      <c r="AR126" s="35"/>
    </row>
    <row r="127" spans="43:44" x14ac:dyDescent="0.25">
      <c r="AQ127" s="138" t="s">
        <v>54</v>
      </c>
      <c r="AR127" s="35"/>
    </row>
    <row r="128" spans="43:44" x14ac:dyDescent="0.25">
      <c r="AQ128" s="139" t="s">
        <v>60</v>
      </c>
      <c r="AR128" s="35"/>
    </row>
    <row r="129" spans="43:44" x14ac:dyDescent="0.25">
      <c r="AQ129" s="16">
        <v>33</v>
      </c>
      <c r="AR129" s="35"/>
    </row>
    <row r="130" spans="43:44" x14ac:dyDescent="0.25">
      <c r="AQ130" s="136" t="s">
        <v>54</v>
      </c>
      <c r="AR130" s="35"/>
    </row>
    <row r="131" spans="43:44" x14ac:dyDescent="0.25">
      <c r="AQ131" s="138" t="s">
        <v>54</v>
      </c>
      <c r="AR131" s="35"/>
    </row>
    <row r="132" spans="43:44" x14ac:dyDescent="0.25">
      <c r="AQ132" s="139" t="s">
        <v>60</v>
      </c>
      <c r="AR132" s="35"/>
    </row>
    <row r="133" spans="43:44" x14ac:dyDescent="0.25">
      <c r="AQ133" s="16">
        <v>34</v>
      </c>
      <c r="AR133" s="35"/>
    </row>
    <row r="134" spans="43:44" x14ac:dyDescent="0.25">
      <c r="AQ134" s="136" t="s">
        <v>54</v>
      </c>
      <c r="AR134" s="35"/>
    </row>
    <row r="135" spans="43:44" x14ac:dyDescent="0.25">
      <c r="AQ135" s="138" t="s">
        <v>54</v>
      </c>
      <c r="AR135" s="35"/>
    </row>
    <row r="136" spans="43:44" x14ac:dyDescent="0.25">
      <c r="AQ136" s="139" t="s">
        <v>60</v>
      </c>
      <c r="AR136" s="35"/>
    </row>
    <row r="137" spans="43:44" x14ac:dyDescent="0.25">
      <c r="AQ137" s="16">
        <v>35</v>
      </c>
      <c r="AR137" s="35"/>
    </row>
    <row r="138" spans="43:44" x14ac:dyDescent="0.25">
      <c r="AQ138" s="136" t="s">
        <v>54</v>
      </c>
      <c r="AR138" s="35"/>
    </row>
    <row r="139" spans="43:44" x14ac:dyDescent="0.25">
      <c r="AQ139" s="138" t="s">
        <v>54</v>
      </c>
      <c r="AR139" s="35"/>
    </row>
    <row r="140" spans="43:44" x14ac:dyDescent="0.25">
      <c r="AQ140" s="139" t="s">
        <v>60</v>
      </c>
      <c r="AR140" s="35"/>
    </row>
    <row r="141" spans="43:44" x14ac:dyDescent="0.25">
      <c r="AQ141" s="16">
        <v>36</v>
      </c>
      <c r="AR141" s="35"/>
    </row>
    <row r="142" spans="43:44" x14ac:dyDescent="0.25">
      <c r="AQ142" s="136" t="s">
        <v>54</v>
      </c>
      <c r="AR142" s="35"/>
    </row>
    <row r="143" spans="43:44" x14ac:dyDescent="0.25">
      <c r="AQ143" s="138" t="s">
        <v>54</v>
      </c>
      <c r="AR143" s="35"/>
    </row>
    <row r="144" spans="43:44" x14ac:dyDescent="0.25">
      <c r="AQ144" s="139" t="s">
        <v>60</v>
      </c>
      <c r="AR144" s="35"/>
    </row>
    <row r="145" spans="43:44" x14ac:dyDescent="0.25">
      <c r="AQ145" s="16">
        <v>37</v>
      </c>
      <c r="AR145" s="35"/>
    </row>
    <row r="146" spans="43:44" x14ac:dyDescent="0.25">
      <c r="AQ146" s="136" t="s">
        <v>54</v>
      </c>
      <c r="AR146" s="35"/>
    </row>
    <row r="147" spans="43:44" x14ac:dyDescent="0.25">
      <c r="AQ147" s="138" t="s">
        <v>54</v>
      </c>
      <c r="AR147" s="35"/>
    </row>
    <row r="148" spans="43:44" x14ac:dyDescent="0.25">
      <c r="AQ148" s="139" t="s">
        <v>60</v>
      </c>
      <c r="AR148" s="35"/>
    </row>
    <row r="149" spans="43:44" x14ac:dyDescent="0.25">
      <c r="AQ149" s="16">
        <v>38</v>
      </c>
      <c r="AR149" s="35"/>
    </row>
    <row r="150" spans="43:44" x14ac:dyDescent="0.25">
      <c r="AQ150" s="136" t="s">
        <v>54</v>
      </c>
      <c r="AR150" s="35"/>
    </row>
    <row r="151" spans="43:44" x14ac:dyDescent="0.25">
      <c r="AQ151" s="138" t="s">
        <v>54</v>
      </c>
      <c r="AR151" s="35"/>
    </row>
    <row r="152" spans="43:44" x14ac:dyDescent="0.25">
      <c r="AQ152" s="139" t="s">
        <v>60</v>
      </c>
      <c r="AR152" s="35"/>
    </row>
    <row r="153" spans="43:44" x14ac:dyDescent="0.25">
      <c r="AQ153" s="16">
        <v>39</v>
      </c>
      <c r="AR153" s="35"/>
    </row>
    <row r="154" spans="43:44" x14ac:dyDescent="0.25">
      <c r="AQ154" s="136" t="s">
        <v>54</v>
      </c>
      <c r="AR154" s="35"/>
    </row>
    <row r="155" spans="43:44" x14ac:dyDescent="0.25">
      <c r="AQ155" s="138" t="s">
        <v>54</v>
      </c>
      <c r="AR155" s="35"/>
    </row>
    <row r="156" spans="43:44" x14ac:dyDescent="0.25">
      <c r="AQ156" s="139" t="s">
        <v>60</v>
      </c>
      <c r="AR156" s="35"/>
    </row>
    <row r="157" spans="43:44" x14ac:dyDescent="0.25">
      <c r="AQ157" s="16">
        <v>40</v>
      </c>
      <c r="AR157" s="35"/>
    </row>
    <row r="158" spans="43:44" x14ac:dyDescent="0.25">
      <c r="AQ158" s="136" t="s">
        <v>54</v>
      </c>
      <c r="AR158" s="35"/>
    </row>
    <row r="159" spans="43:44" x14ac:dyDescent="0.25">
      <c r="AQ159" s="138" t="s">
        <v>54</v>
      </c>
      <c r="AR159" s="35"/>
    </row>
    <row r="160" spans="43:44" x14ac:dyDescent="0.25">
      <c r="AQ160" s="139" t="s">
        <v>60</v>
      </c>
      <c r="AR160" s="35"/>
    </row>
    <row r="161" spans="43:44" x14ac:dyDescent="0.25">
      <c r="AQ161" s="16">
        <v>41</v>
      </c>
      <c r="AR161" s="35"/>
    </row>
    <row r="162" spans="43:44" x14ac:dyDescent="0.25">
      <c r="AQ162" s="136" t="s">
        <v>54</v>
      </c>
      <c r="AR162" s="35"/>
    </row>
    <row r="163" spans="43:44" x14ac:dyDescent="0.25">
      <c r="AQ163" s="138" t="s">
        <v>54</v>
      </c>
      <c r="AR163" s="35"/>
    </row>
    <row r="164" spans="43:44" x14ac:dyDescent="0.25">
      <c r="AQ164" s="139" t="s">
        <v>60</v>
      </c>
      <c r="AR164" s="35"/>
    </row>
    <row r="165" spans="43:44" x14ac:dyDescent="0.25">
      <c r="AQ165" s="16">
        <v>42</v>
      </c>
      <c r="AR165" s="35"/>
    </row>
    <row r="166" spans="43:44" x14ac:dyDescent="0.25">
      <c r="AQ166" s="136" t="s">
        <v>54</v>
      </c>
      <c r="AR166" s="35"/>
    </row>
    <row r="167" spans="43:44" x14ac:dyDescent="0.25">
      <c r="AQ167" s="138" t="s">
        <v>54</v>
      </c>
      <c r="AR167" s="35"/>
    </row>
    <row r="168" spans="43:44" x14ac:dyDescent="0.25">
      <c r="AQ168" s="139" t="s">
        <v>60</v>
      </c>
      <c r="AR168" s="35"/>
    </row>
    <row r="169" spans="43:44" x14ac:dyDescent="0.25">
      <c r="AQ169" s="16">
        <v>43</v>
      </c>
      <c r="AR169" s="35"/>
    </row>
    <row r="170" spans="43:44" x14ac:dyDescent="0.25">
      <c r="AQ170" s="136" t="s">
        <v>54</v>
      </c>
      <c r="AR170" s="35"/>
    </row>
    <row r="171" spans="43:44" x14ac:dyDescent="0.25">
      <c r="AQ171" s="138" t="s">
        <v>54</v>
      </c>
      <c r="AR171" s="35"/>
    </row>
    <row r="172" spans="43:44" x14ac:dyDescent="0.25">
      <c r="AQ172" s="139" t="s">
        <v>60</v>
      </c>
      <c r="AR172" s="35"/>
    </row>
    <row r="173" spans="43:44" x14ac:dyDescent="0.25">
      <c r="AQ173" s="16">
        <v>44</v>
      </c>
      <c r="AR173" s="35"/>
    </row>
    <row r="174" spans="43:44" x14ac:dyDescent="0.25">
      <c r="AQ174" s="136" t="s">
        <v>54</v>
      </c>
      <c r="AR174" s="35"/>
    </row>
    <row r="175" spans="43:44" x14ac:dyDescent="0.25">
      <c r="AQ175" s="138" t="s">
        <v>54</v>
      </c>
      <c r="AR175" s="35"/>
    </row>
    <row r="176" spans="43:44" x14ac:dyDescent="0.25">
      <c r="AQ176" s="139" t="s">
        <v>60</v>
      </c>
      <c r="AR176" s="35"/>
    </row>
    <row r="177" spans="43:44" x14ac:dyDescent="0.25">
      <c r="AQ177" s="16">
        <v>45</v>
      </c>
      <c r="AR177" s="35"/>
    </row>
    <row r="178" spans="43:44" x14ac:dyDescent="0.25">
      <c r="AQ178" s="136" t="s">
        <v>54</v>
      </c>
      <c r="AR178" s="35"/>
    </row>
    <row r="179" spans="43:44" x14ac:dyDescent="0.25">
      <c r="AQ179" s="138" t="s">
        <v>54</v>
      </c>
      <c r="AR179" s="35"/>
    </row>
    <row r="180" spans="43:44" x14ac:dyDescent="0.25">
      <c r="AQ180" s="139" t="s">
        <v>60</v>
      </c>
      <c r="AR180" s="35"/>
    </row>
    <row r="181" spans="43:44" x14ac:dyDescent="0.25">
      <c r="AQ181" s="16">
        <v>46</v>
      </c>
      <c r="AR181" s="35"/>
    </row>
    <row r="182" spans="43:44" x14ac:dyDescent="0.25">
      <c r="AQ182" s="136" t="s">
        <v>54</v>
      </c>
      <c r="AR182" s="35"/>
    </row>
    <row r="183" spans="43:44" x14ac:dyDescent="0.25">
      <c r="AQ183" s="138" t="s">
        <v>54</v>
      </c>
      <c r="AR183" s="35"/>
    </row>
    <row r="184" spans="43:44" x14ac:dyDescent="0.25">
      <c r="AQ184" s="139" t="s">
        <v>60</v>
      </c>
      <c r="AR184" s="35"/>
    </row>
    <row r="185" spans="43:44" x14ac:dyDescent="0.25">
      <c r="AQ185" s="16">
        <v>47</v>
      </c>
      <c r="AR185" s="35"/>
    </row>
    <row r="186" spans="43:44" x14ac:dyDescent="0.25">
      <c r="AQ186" s="136" t="s">
        <v>54</v>
      </c>
      <c r="AR186" s="35"/>
    </row>
    <row r="187" spans="43:44" x14ac:dyDescent="0.25">
      <c r="AQ187" s="138" t="s">
        <v>54</v>
      </c>
      <c r="AR187" s="35"/>
    </row>
    <row r="188" spans="43:44" x14ac:dyDescent="0.25">
      <c r="AQ188" s="139" t="s">
        <v>60</v>
      </c>
      <c r="AR188" s="35"/>
    </row>
    <row r="189" spans="43:44" x14ac:dyDescent="0.25">
      <c r="AQ189" s="16">
        <v>48</v>
      </c>
      <c r="AR189" s="35"/>
    </row>
    <row r="190" spans="43:44" x14ac:dyDescent="0.25">
      <c r="AQ190" s="136" t="s">
        <v>54</v>
      </c>
      <c r="AR190" s="35"/>
    </row>
    <row r="191" spans="43:44" x14ac:dyDescent="0.25">
      <c r="AQ191" s="138" t="s">
        <v>54</v>
      </c>
      <c r="AR191" s="35"/>
    </row>
    <row r="192" spans="43:44" x14ac:dyDescent="0.25">
      <c r="AQ192" s="139" t="s">
        <v>60</v>
      </c>
      <c r="AR192" s="35"/>
    </row>
    <row r="193" spans="43:44" x14ac:dyDescent="0.25">
      <c r="AQ193" s="16">
        <v>49</v>
      </c>
      <c r="AR193" s="35"/>
    </row>
    <row r="194" spans="43:44" x14ac:dyDescent="0.25">
      <c r="AQ194" s="136" t="s">
        <v>54</v>
      </c>
      <c r="AR194" s="35"/>
    </row>
    <row r="195" spans="43:44" x14ac:dyDescent="0.25">
      <c r="AQ195" s="138" t="s">
        <v>54</v>
      </c>
      <c r="AR195" s="35"/>
    </row>
    <row r="196" spans="43:44" x14ac:dyDescent="0.25">
      <c r="AQ196" s="139" t="s">
        <v>60</v>
      </c>
      <c r="AR196" s="35"/>
    </row>
    <row r="197" spans="43:44" x14ac:dyDescent="0.25">
      <c r="AQ197" s="16">
        <v>50</v>
      </c>
      <c r="AR197" s="35"/>
    </row>
    <row r="198" spans="43:44" x14ac:dyDescent="0.25">
      <c r="AQ198" s="136" t="s">
        <v>54</v>
      </c>
      <c r="AR198" s="35"/>
    </row>
    <row r="199" spans="43:44" x14ac:dyDescent="0.25">
      <c r="AQ199" s="138" t="s">
        <v>54</v>
      </c>
      <c r="AR199" s="35"/>
    </row>
    <row r="200" spans="43:44" x14ac:dyDescent="0.25">
      <c r="AQ200" s="139" t="s">
        <v>60</v>
      </c>
      <c r="AR200" s="35"/>
    </row>
    <row r="201" spans="43:44" x14ac:dyDescent="0.25">
      <c r="AQ201" s="16">
        <v>51</v>
      </c>
      <c r="AR201" s="35"/>
    </row>
    <row r="202" spans="43:44" x14ac:dyDescent="0.25">
      <c r="AQ202" s="136" t="s">
        <v>54</v>
      </c>
      <c r="AR202" s="35"/>
    </row>
    <row r="203" spans="43:44" x14ac:dyDescent="0.25">
      <c r="AQ203" s="138" t="s">
        <v>54</v>
      </c>
      <c r="AR203" s="35"/>
    </row>
    <row r="204" spans="43:44" x14ac:dyDescent="0.25">
      <c r="AQ204" s="139" t="s">
        <v>60</v>
      </c>
      <c r="AR204" s="35"/>
    </row>
    <row r="205" spans="43:44" x14ac:dyDescent="0.25">
      <c r="AQ205" s="16">
        <v>52</v>
      </c>
      <c r="AR205" s="35"/>
    </row>
    <row r="206" spans="43:44" x14ac:dyDescent="0.25">
      <c r="AQ206" s="136" t="s">
        <v>54</v>
      </c>
      <c r="AR206" s="35"/>
    </row>
    <row r="207" spans="43:44" x14ac:dyDescent="0.25">
      <c r="AQ207" s="138" t="s">
        <v>54</v>
      </c>
      <c r="AR207" s="35"/>
    </row>
    <row r="208" spans="43:44" x14ac:dyDescent="0.25">
      <c r="AQ208" s="139" t="s">
        <v>60</v>
      </c>
      <c r="AR208" s="35"/>
    </row>
    <row r="209" spans="43:44" x14ac:dyDescent="0.25">
      <c r="AQ209" s="16">
        <v>53</v>
      </c>
      <c r="AR209" s="35"/>
    </row>
    <row r="210" spans="43:44" x14ac:dyDescent="0.25">
      <c r="AQ210" s="136" t="s">
        <v>54</v>
      </c>
      <c r="AR210" s="35"/>
    </row>
    <row r="211" spans="43:44" x14ac:dyDescent="0.25">
      <c r="AQ211" s="138" t="s">
        <v>54</v>
      </c>
      <c r="AR211" s="35"/>
    </row>
    <row r="212" spans="43:44" x14ac:dyDescent="0.25">
      <c r="AQ212" s="139" t="s">
        <v>60</v>
      </c>
      <c r="AR212" s="35"/>
    </row>
    <row r="213" spans="43:44" x14ac:dyDescent="0.25">
      <c r="AQ213" s="16">
        <v>54</v>
      </c>
      <c r="AR213" s="35"/>
    </row>
    <row r="214" spans="43:44" x14ac:dyDescent="0.25">
      <c r="AQ214" s="136" t="s">
        <v>54</v>
      </c>
      <c r="AR214" s="35"/>
    </row>
    <row r="215" spans="43:44" x14ac:dyDescent="0.25">
      <c r="AQ215" s="138" t="s">
        <v>54</v>
      </c>
      <c r="AR215" s="35"/>
    </row>
    <row r="216" spans="43:44" x14ac:dyDescent="0.25">
      <c r="AQ216" s="139" t="s">
        <v>60</v>
      </c>
      <c r="AR216" s="35"/>
    </row>
    <row r="217" spans="43:44" x14ac:dyDescent="0.25">
      <c r="AQ217" s="16">
        <v>55</v>
      </c>
      <c r="AR217" s="35"/>
    </row>
    <row r="218" spans="43:44" x14ac:dyDescent="0.25">
      <c r="AQ218" s="136" t="s">
        <v>54</v>
      </c>
      <c r="AR218" s="35"/>
    </row>
    <row r="219" spans="43:44" x14ac:dyDescent="0.25">
      <c r="AQ219" s="138" t="s">
        <v>54</v>
      </c>
      <c r="AR219" s="35"/>
    </row>
    <row r="220" spans="43:44" x14ac:dyDescent="0.25">
      <c r="AQ220" s="139" t="s">
        <v>60</v>
      </c>
      <c r="AR220" s="35"/>
    </row>
    <row r="221" spans="43:44" x14ac:dyDescent="0.25">
      <c r="AQ221" s="16">
        <v>56</v>
      </c>
      <c r="AR221" s="35"/>
    </row>
    <row r="222" spans="43:44" x14ac:dyDescent="0.25">
      <c r="AQ222" s="136" t="s">
        <v>54</v>
      </c>
      <c r="AR222" s="35"/>
    </row>
    <row r="223" spans="43:44" x14ac:dyDescent="0.25">
      <c r="AQ223" s="138" t="s">
        <v>54</v>
      </c>
      <c r="AR223" s="35"/>
    </row>
    <row r="224" spans="43:44" x14ac:dyDescent="0.25">
      <c r="AQ224" s="139" t="s">
        <v>60</v>
      </c>
      <c r="AR224" s="35"/>
    </row>
    <row r="225" spans="43:44" x14ac:dyDescent="0.25">
      <c r="AQ225" s="16">
        <v>57</v>
      </c>
      <c r="AR225" s="35"/>
    </row>
    <row r="226" spans="43:44" x14ac:dyDescent="0.25">
      <c r="AQ226" s="136" t="s">
        <v>54</v>
      </c>
      <c r="AR226" s="35"/>
    </row>
    <row r="227" spans="43:44" x14ac:dyDescent="0.25">
      <c r="AQ227" s="138" t="s">
        <v>54</v>
      </c>
      <c r="AR227" s="35"/>
    </row>
    <row r="228" spans="43:44" x14ac:dyDescent="0.25">
      <c r="AQ228" s="139" t="s">
        <v>60</v>
      </c>
      <c r="AR228" s="35"/>
    </row>
    <row r="229" spans="43:44" x14ac:dyDescent="0.25">
      <c r="AQ229" s="16">
        <v>58</v>
      </c>
      <c r="AR229" s="35"/>
    </row>
    <row r="230" spans="43:44" x14ac:dyDescent="0.25">
      <c r="AQ230" s="136" t="s">
        <v>54</v>
      </c>
      <c r="AR230" s="35"/>
    </row>
    <row r="231" spans="43:44" x14ac:dyDescent="0.25">
      <c r="AQ231" s="138" t="s">
        <v>54</v>
      </c>
      <c r="AR231" s="35"/>
    </row>
    <row r="232" spans="43:44" x14ac:dyDescent="0.25">
      <c r="AQ232" s="139" t="s">
        <v>60</v>
      </c>
      <c r="AR232" s="35"/>
    </row>
    <row r="233" spans="43:44" x14ac:dyDescent="0.25">
      <c r="AQ233" s="16">
        <v>59</v>
      </c>
      <c r="AR233" s="35"/>
    </row>
    <row r="234" spans="43:44" x14ac:dyDescent="0.25">
      <c r="AQ234" s="136" t="s">
        <v>54</v>
      </c>
      <c r="AR234" s="35"/>
    </row>
    <row r="235" spans="43:44" x14ac:dyDescent="0.25">
      <c r="AQ235" s="138" t="s">
        <v>54</v>
      </c>
      <c r="AR235" s="35"/>
    </row>
    <row r="236" spans="43:44" x14ac:dyDescent="0.25">
      <c r="AQ236" s="139" t="s">
        <v>60</v>
      </c>
      <c r="AR236" s="35"/>
    </row>
    <row r="237" spans="43:44" x14ac:dyDescent="0.25">
      <c r="AQ237" s="16">
        <v>60</v>
      </c>
      <c r="AR237" s="35"/>
    </row>
    <row r="238" spans="43:44" x14ac:dyDescent="0.25">
      <c r="AQ238" s="136" t="s">
        <v>54</v>
      </c>
      <c r="AR238" s="35"/>
    </row>
    <row r="239" spans="43:44" x14ac:dyDescent="0.25">
      <c r="AQ239" s="138" t="s">
        <v>54</v>
      </c>
      <c r="AR239" s="35"/>
    </row>
    <row r="240" spans="43:44" x14ac:dyDescent="0.25">
      <c r="AQ240" s="139" t="s">
        <v>60</v>
      </c>
      <c r="AR240" s="35"/>
    </row>
    <row r="241" spans="43:44" x14ac:dyDescent="0.25">
      <c r="AQ241" s="16">
        <v>61</v>
      </c>
      <c r="AR241" s="35"/>
    </row>
    <row r="242" spans="43:44" x14ac:dyDescent="0.25">
      <c r="AQ242" s="136" t="s">
        <v>54</v>
      </c>
      <c r="AR242" s="35"/>
    </row>
    <row r="243" spans="43:44" x14ac:dyDescent="0.25">
      <c r="AQ243" s="138" t="s">
        <v>54</v>
      </c>
      <c r="AR243" s="35"/>
    </row>
    <row r="244" spans="43:44" x14ac:dyDescent="0.25">
      <c r="AQ244" s="139" t="s">
        <v>60</v>
      </c>
      <c r="AR244" s="35"/>
    </row>
    <row r="245" spans="43:44" x14ac:dyDescent="0.25">
      <c r="AQ245" s="16">
        <v>62</v>
      </c>
      <c r="AR245" s="35"/>
    </row>
    <row r="246" spans="43:44" x14ac:dyDescent="0.25">
      <c r="AQ246" s="136" t="s">
        <v>54</v>
      </c>
      <c r="AR246" s="35"/>
    </row>
    <row r="247" spans="43:44" x14ac:dyDescent="0.25">
      <c r="AQ247" s="138" t="s">
        <v>54</v>
      </c>
      <c r="AR247" s="35"/>
    </row>
    <row r="248" spans="43:44" x14ac:dyDescent="0.25">
      <c r="AQ248" s="139" t="s">
        <v>60</v>
      </c>
      <c r="AR248" s="35"/>
    </row>
    <row r="249" spans="43:44" x14ac:dyDescent="0.25">
      <c r="AQ249" s="16">
        <v>63</v>
      </c>
      <c r="AR249" s="35"/>
    </row>
    <row r="250" spans="43:44" x14ac:dyDescent="0.25">
      <c r="AQ250" s="136" t="s">
        <v>54</v>
      </c>
      <c r="AR250" s="35"/>
    </row>
    <row r="251" spans="43:44" x14ac:dyDescent="0.25">
      <c r="AQ251" s="138" t="s">
        <v>54</v>
      </c>
      <c r="AR251" s="35"/>
    </row>
    <row r="252" spans="43:44" x14ac:dyDescent="0.25">
      <c r="AQ252" s="139" t="s">
        <v>60</v>
      </c>
      <c r="AR252" s="35"/>
    </row>
    <row r="253" spans="43:44" x14ac:dyDescent="0.25">
      <c r="AQ253" s="16">
        <v>64</v>
      </c>
      <c r="AR253" s="35"/>
    </row>
    <row r="254" spans="43:44" x14ac:dyDescent="0.25">
      <c r="AQ254" s="136" t="s">
        <v>54</v>
      </c>
      <c r="AR254" s="35"/>
    </row>
    <row r="255" spans="43:44" x14ac:dyDescent="0.25">
      <c r="AQ255" s="138" t="s">
        <v>54</v>
      </c>
      <c r="AR255" s="35"/>
    </row>
    <row r="256" spans="43:44" x14ac:dyDescent="0.25">
      <c r="AQ256" s="139" t="s">
        <v>60</v>
      </c>
      <c r="AR256" s="35"/>
    </row>
    <row r="257" spans="43:44" x14ac:dyDescent="0.25">
      <c r="AQ257" s="16">
        <v>65</v>
      </c>
      <c r="AR257" s="35"/>
    </row>
    <row r="258" spans="43:44" x14ac:dyDescent="0.25">
      <c r="AQ258" s="136" t="s">
        <v>54</v>
      </c>
      <c r="AR258" s="35"/>
    </row>
    <row r="259" spans="43:44" x14ac:dyDescent="0.25">
      <c r="AQ259" s="138" t="s">
        <v>54</v>
      </c>
      <c r="AR259" s="35"/>
    </row>
    <row r="260" spans="43:44" x14ac:dyDescent="0.25">
      <c r="AQ260" s="139" t="s">
        <v>60</v>
      </c>
      <c r="AR260" s="35"/>
    </row>
    <row r="261" spans="43:44" x14ac:dyDescent="0.25">
      <c r="AQ261" s="16">
        <v>66</v>
      </c>
      <c r="AR261" s="35"/>
    </row>
    <row r="262" spans="43:44" x14ac:dyDescent="0.25">
      <c r="AQ262" s="136" t="s">
        <v>54</v>
      </c>
      <c r="AR262" s="35"/>
    </row>
    <row r="263" spans="43:44" x14ac:dyDescent="0.25">
      <c r="AQ263" s="138" t="s">
        <v>54</v>
      </c>
      <c r="AR263" s="35"/>
    </row>
    <row r="264" spans="43:44" x14ac:dyDescent="0.25">
      <c r="AQ264" s="139" t="s">
        <v>60</v>
      </c>
      <c r="AR264" s="35"/>
    </row>
    <row r="265" spans="43:44" x14ac:dyDescent="0.25">
      <c r="AQ265" s="16">
        <v>67</v>
      </c>
      <c r="AR265" s="35"/>
    </row>
    <row r="266" spans="43:44" x14ac:dyDescent="0.25">
      <c r="AQ266" s="136" t="s">
        <v>54</v>
      </c>
      <c r="AR266" s="35"/>
    </row>
    <row r="267" spans="43:44" x14ac:dyDescent="0.25">
      <c r="AQ267" s="138" t="s">
        <v>54</v>
      </c>
      <c r="AR267" s="35"/>
    </row>
    <row r="268" spans="43:44" x14ac:dyDescent="0.25">
      <c r="AQ268" s="139" t="s">
        <v>60</v>
      </c>
      <c r="AR268" s="35"/>
    </row>
    <row r="269" spans="43:44" x14ac:dyDescent="0.25">
      <c r="AQ269" s="16">
        <v>68</v>
      </c>
      <c r="AR269" s="35"/>
    </row>
    <row r="270" spans="43:44" x14ac:dyDescent="0.25">
      <c r="AQ270" s="136" t="s">
        <v>54</v>
      </c>
      <c r="AR270" s="35"/>
    </row>
    <row r="271" spans="43:44" x14ac:dyDescent="0.25">
      <c r="AQ271" s="138" t="s">
        <v>54</v>
      </c>
      <c r="AR271" s="35"/>
    </row>
    <row r="272" spans="43:44" x14ac:dyDescent="0.25">
      <c r="AQ272" s="139" t="s">
        <v>60</v>
      </c>
      <c r="AR272" s="35"/>
    </row>
    <row r="273" spans="43:44" x14ac:dyDescent="0.25">
      <c r="AQ273" s="16">
        <v>69</v>
      </c>
      <c r="AR273" s="35"/>
    </row>
    <row r="274" spans="43:44" x14ac:dyDescent="0.25">
      <c r="AQ274" s="136" t="s">
        <v>54</v>
      </c>
      <c r="AR274" s="35"/>
    </row>
    <row r="275" spans="43:44" x14ac:dyDescent="0.25">
      <c r="AQ275" s="138" t="s">
        <v>54</v>
      </c>
      <c r="AR275" s="35"/>
    </row>
    <row r="276" spans="43:44" x14ac:dyDescent="0.25">
      <c r="AQ276" s="139" t="s">
        <v>60</v>
      </c>
      <c r="AR276" s="35"/>
    </row>
    <row r="277" spans="43:44" x14ac:dyDescent="0.25">
      <c r="AQ277" s="16">
        <v>70</v>
      </c>
      <c r="AR277" s="35"/>
    </row>
    <row r="278" spans="43:44" x14ac:dyDescent="0.25">
      <c r="AQ278" s="136" t="s">
        <v>54</v>
      </c>
      <c r="AR278" s="35"/>
    </row>
    <row r="279" spans="43:44" x14ac:dyDescent="0.25">
      <c r="AQ279" s="138" t="s">
        <v>54</v>
      </c>
      <c r="AR279" s="35"/>
    </row>
    <row r="280" spans="43:44" x14ac:dyDescent="0.25">
      <c r="AQ280" s="139" t="s">
        <v>60</v>
      </c>
      <c r="AR280" s="35"/>
    </row>
    <row r="281" spans="43:44" x14ac:dyDescent="0.25">
      <c r="AQ281" s="16">
        <v>71</v>
      </c>
      <c r="AR281" s="35"/>
    </row>
    <row r="282" spans="43:44" x14ac:dyDescent="0.25">
      <c r="AQ282" s="136" t="s">
        <v>54</v>
      </c>
      <c r="AR282" s="35"/>
    </row>
    <row r="283" spans="43:44" x14ac:dyDescent="0.25">
      <c r="AQ283" s="138" t="s">
        <v>54</v>
      </c>
      <c r="AR283" s="35"/>
    </row>
    <row r="284" spans="43:44" x14ac:dyDescent="0.25">
      <c r="AQ284" s="139" t="s">
        <v>60</v>
      </c>
      <c r="AR284" s="35"/>
    </row>
    <row r="285" spans="43:44" x14ac:dyDescent="0.25">
      <c r="AQ285" s="16">
        <v>72</v>
      </c>
      <c r="AR285" s="35"/>
    </row>
    <row r="286" spans="43:44" x14ac:dyDescent="0.25">
      <c r="AQ286" s="136" t="s">
        <v>54</v>
      </c>
      <c r="AR286" s="35"/>
    </row>
    <row r="287" spans="43:44" x14ac:dyDescent="0.25">
      <c r="AQ287" s="138" t="s">
        <v>54</v>
      </c>
      <c r="AR287" s="35"/>
    </row>
    <row r="288" spans="43:44" x14ac:dyDescent="0.25">
      <c r="AQ288" s="139" t="s">
        <v>60</v>
      </c>
      <c r="AR288" s="35"/>
    </row>
    <row r="289" spans="43:44" x14ac:dyDescent="0.25">
      <c r="AQ289" s="16">
        <v>73</v>
      </c>
      <c r="AR289" s="35"/>
    </row>
    <row r="290" spans="43:44" x14ac:dyDescent="0.25">
      <c r="AQ290" s="136" t="s">
        <v>54</v>
      </c>
      <c r="AR290" s="35"/>
    </row>
    <row r="291" spans="43:44" x14ac:dyDescent="0.25">
      <c r="AQ291" s="138" t="s">
        <v>54</v>
      </c>
      <c r="AR291" s="35"/>
    </row>
    <row r="292" spans="43:44" x14ac:dyDescent="0.25">
      <c r="AQ292" s="139" t="s">
        <v>60</v>
      </c>
      <c r="AR292" s="35"/>
    </row>
    <row r="293" spans="43:44" x14ac:dyDescent="0.25">
      <c r="AQ293" s="16">
        <v>74</v>
      </c>
      <c r="AR293" s="35"/>
    </row>
    <row r="294" spans="43:44" x14ac:dyDescent="0.25">
      <c r="AQ294" s="136" t="s">
        <v>54</v>
      </c>
      <c r="AR294" s="35"/>
    </row>
    <row r="295" spans="43:44" x14ac:dyDescent="0.25">
      <c r="AQ295" s="138" t="s">
        <v>54</v>
      </c>
      <c r="AR295" s="35"/>
    </row>
    <row r="296" spans="43:44" x14ac:dyDescent="0.25">
      <c r="AQ296" s="139" t="s">
        <v>60</v>
      </c>
      <c r="AR296" s="35"/>
    </row>
    <row r="297" spans="43:44" x14ac:dyDescent="0.25">
      <c r="AQ297" s="16">
        <v>75</v>
      </c>
      <c r="AR297" s="35"/>
    </row>
    <row r="298" spans="43:44" x14ac:dyDescent="0.25">
      <c r="AQ298" s="136" t="s">
        <v>54</v>
      </c>
      <c r="AR298" s="35"/>
    </row>
    <row r="299" spans="43:44" x14ac:dyDescent="0.25">
      <c r="AQ299" s="138" t="s">
        <v>54</v>
      </c>
      <c r="AR299" s="35"/>
    </row>
    <row r="300" spans="43:44" x14ac:dyDescent="0.25">
      <c r="AQ300" s="139" t="s">
        <v>60</v>
      </c>
      <c r="AR300" s="35"/>
    </row>
    <row r="301" spans="43:44" x14ac:dyDescent="0.25">
      <c r="AQ301" s="16">
        <v>76</v>
      </c>
      <c r="AR301" s="35"/>
    </row>
    <row r="302" spans="43:44" x14ac:dyDescent="0.25">
      <c r="AQ302" s="136" t="s">
        <v>54</v>
      </c>
      <c r="AR302" s="35"/>
    </row>
    <row r="303" spans="43:44" x14ac:dyDescent="0.25">
      <c r="AQ303" s="138" t="s">
        <v>54</v>
      </c>
      <c r="AR303" s="35"/>
    </row>
    <row r="304" spans="43:44" x14ac:dyDescent="0.25">
      <c r="AQ304" s="139" t="s">
        <v>60</v>
      </c>
      <c r="AR304" s="35"/>
    </row>
    <row r="305" spans="43:44" x14ac:dyDescent="0.25">
      <c r="AQ305" s="16">
        <v>77</v>
      </c>
      <c r="AR305" s="35"/>
    </row>
    <row r="306" spans="43:44" x14ac:dyDescent="0.25">
      <c r="AQ306" s="136" t="s">
        <v>54</v>
      </c>
      <c r="AR306" s="35"/>
    </row>
    <row r="307" spans="43:44" x14ac:dyDescent="0.25">
      <c r="AQ307" s="138" t="s">
        <v>54</v>
      </c>
      <c r="AR307" s="35"/>
    </row>
    <row r="308" spans="43:44" x14ac:dyDescent="0.25">
      <c r="AQ308" s="139" t="s">
        <v>60</v>
      </c>
      <c r="AR308" s="35"/>
    </row>
    <row r="309" spans="43:44" x14ac:dyDescent="0.25">
      <c r="AQ309" s="16">
        <v>78</v>
      </c>
      <c r="AR309" s="35"/>
    </row>
    <row r="310" spans="43:44" x14ac:dyDescent="0.25">
      <c r="AQ310" s="136" t="s">
        <v>54</v>
      </c>
      <c r="AR310" s="35"/>
    </row>
    <row r="311" spans="43:44" x14ac:dyDescent="0.25">
      <c r="AQ311" s="138" t="s">
        <v>54</v>
      </c>
      <c r="AR311" s="35"/>
    </row>
    <row r="312" spans="43:44" x14ac:dyDescent="0.25">
      <c r="AQ312" s="139" t="s">
        <v>60</v>
      </c>
      <c r="AR312" s="35"/>
    </row>
    <row r="313" spans="43:44" x14ac:dyDescent="0.25">
      <c r="AQ313" s="16">
        <v>79</v>
      </c>
      <c r="AR313" s="35"/>
    </row>
    <row r="314" spans="43:44" x14ac:dyDescent="0.25">
      <c r="AQ314" s="136" t="s">
        <v>54</v>
      </c>
      <c r="AR314" s="35"/>
    </row>
    <row r="315" spans="43:44" x14ac:dyDescent="0.25">
      <c r="AQ315" s="138" t="s">
        <v>54</v>
      </c>
      <c r="AR315" s="35"/>
    </row>
    <row r="316" spans="43:44" x14ac:dyDescent="0.25">
      <c r="AQ316" s="139" t="s">
        <v>60</v>
      </c>
      <c r="AR316" s="35"/>
    </row>
    <row r="317" spans="43:44" x14ac:dyDescent="0.25">
      <c r="AQ317" s="16">
        <v>80</v>
      </c>
      <c r="AR317" s="35"/>
    </row>
    <row r="318" spans="43:44" x14ac:dyDescent="0.25">
      <c r="AQ318" s="136" t="s">
        <v>54</v>
      </c>
      <c r="AR318" s="35"/>
    </row>
    <row r="319" spans="43:44" x14ac:dyDescent="0.25">
      <c r="AQ319" s="138" t="s">
        <v>54</v>
      </c>
      <c r="AR319" s="35"/>
    </row>
    <row r="320" spans="43:44" x14ac:dyDescent="0.25">
      <c r="AQ320" s="139" t="s">
        <v>60</v>
      </c>
      <c r="AR320" s="35"/>
    </row>
    <row r="321" spans="43:44" x14ac:dyDescent="0.25">
      <c r="AQ321" s="16">
        <v>81</v>
      </c>
      <c r="AR321" s="35"/>
    </row>
    <row r="322" spans="43:44" x14ac:dyDescent="0.25">
      <c r="AQ322" s="136" t="s">
        <v>54</v>
      </c>
      <c r="AR322" s="35"/>
    </row>
    <row r="323" spans="43:44" x14ac:dyDescent="0.25">
      <c r="AQ323" s="138" t="s">
        <v>54</v>
      </c>
      <c r="AR323" s="35"/>
    </row>
    <row r="324" spans="43:44" x14ac:dyDescent="0.25">
      <c r="AQ324" s="139" t="s">
        <v>60</v>
      </c>
      <c r="AR324" s="35"/>
    </row>
    <row r="325" spans="43:44" x14ac:dyDescent="0.25">
      <c r="AQ325" s="16">
        <v>82</v>
      </c>
      <c r="AR325" s="35"/>
    </row>
    <row r="326" spans="43:44" x14ac:dyDescent="0.25">
      <c r="AQ326" s="136" t="s">
        <v>54</v>
      </c>
      <c r="AR326" s="35"/>
    </row>
    <row r="327" spans="43:44" x14ac:dyDescent="0.25">
      <c r="AQ327" s="138" t="s">
        <v>54</v>
      </c>
      <c r="AR327" s="35"/>
    </row>
    <row r="328" spans="43:44" x14ac:dyDescent="0.25">
      <c r="AQ328" s="139" t="s">
        <v>60</v>
      </c>
      <c r="AR328" s="35"/>
    </row>
    <row r="329" spans="43:44" x14ac:dyDescent="0.25">
      <c r="AQ329" s="16">
        <v>83</v>
      </c>
      <c r="AR329" s="35"/>
    </row>
    <row r="330" spans="43:44" x14ac:dyDescent="0.25">
      <c r="AQ330" s="136" t="s">
        <v>54</v>
      </c>
      <c r="AR330" s="35"/>
    </row>
    <row r="331" spans="43:44" x14ac:dyDescent="0.25">
      <c r="AQ331" s="138" t="s">
        <v>54</v>
      </c>
      <c r="AR331" s="35"/>
    </row>
    <row r="332" spans="43:44" x14ac:dyDescent="0.25">
      <c r="AQ332" s="139" t="s">
        <v>60</v>
      </c>
      <c r="AR332" s="35"/>
    </row>
    <row r="333" spans="43:44" x14ac:dyDescent="0.25">
      <c r="AQ333" s="16">
        <v>84</v>
      </c>
      <c r="AR333" s="35"/>
    </row>
    <row r="334" spans="43:44" x14ac:dyDescent="0.25">
      <c r="AQ334" s="136" t="s">
        <v>54</v>
      </c>
      <c r="AR334" s="35"/>
    </row>
    <row r="335" spans="43:44" x14ac:dyDescent="0.25">
      <c r="AQ335" s="138" t="s">
        <v>54</v>
      </c>
      <c r="AR335" s="35"/>
    </row>
    <row r="336" spans="43:44" x14ac:dyDescent="0.25">
      <c r="AQ336" s="139" t="s">
        <v>60</v>
      </c>
      <c r="AR336" s="35"/>
    </row>
    <row r="337" spans="43:44" x14ac:dyDescent="0.25">
      <c r="AQ337" s="16">
        <v>85</v>
      </c>
      <c r="AR337" s="35"/>
    </row>
    <row r="338" spans="43:44" x14ac:dyDescent="0.25">
      <c r="AQ338" s="136" t="s">
        <v>54</v>
      </c>
      <c r="AR338" s="35"/>
    </row>
    <row r="339" spans="43:44" x14ac:dyDescent="0.25">
      <c r="AQ339" s="138" t="s">
        <v>54</v>
      </c>
      <c r="AR339" s="35"/>
    </row>
    <row r="340" spans="43:44" x14ac:dyDescent="0.25">
      <c r="AQ340" s="139" t="s">
        <v>60</v>
      </c>
      <c r="AR340" s="35"/>
    </row>
    <row r="341" spans="43:44" x14ac:dyDescent="0.25">
      <c r="AQ341" s="16">
        <v>86</v>
      </c>
      <c r="AR341" s="35"/>
    </row>
    <row r="342" spans="43:44" x14ac:dyDescent="0.25">
      <c r="AQ342" s="136" t="s">
        <v>54</v>
      </c>
      <c r="AR342" s="35"/>
    </row>
    <row r="343" spans="43:44" x14ac:dyDescent="0.25">
      <c r="AQ343" s="138" t="s">
        <v>54</v>
      </c>
      <c r="AR343" s="35"/>
    </row>
    <row r="344" spans="43:44" x14ac:dyDescent="0.25">
      <c r="AQ344" s="139" t="s">
        <v>60</v>
      </c>
      <c r="AR344" s="35"/>
    </row>
    <row r="345" spans="43:44" x14ac:dyDescent="0.25">
      <c r="AQ345" s="16">
        <v>87</v>
      </c>
      <c r="AR345" s="35"/>
    </row>
    <row r="346" spans="43:44" x14ac:dyDescent="0.25">
      <c r="AQ346" s="136" t="s">
        <v>54</v>
      </c>
      <c r="AR346" s="35"/>
    </row>
    <row r="347" spans="43:44" x14ac:dyDescent="0.25">
      <c r="AQ347" s="138" t="s">
        <v>54</v>
      </c>
      <c r="AR347" s="35"/>
    </row>
    <row r="348" spans="43:44" x14ac:dyDescent="0.25">
      <c r="AQ348" s="139" t="s">
        <v>60</v>
      </c>
      <c r="AR348" s="35"/>
    </row>
    <row r="349" spans="43:44" x14ac:dyDescent="0.25">
      <c r="AQ349" s="16">
        <v>88</v>
      </c>
      <c r="AR349" s="35"/>
    </row>
    <row r="350" spans="43:44" x14ac:dyDescent="0.25">
      <c r="AQ350" s="136" t="s">
        <v>54</v>
      </c>
      <c r="AR350" s="35"/>
    </row>
    <row r="351" spans="43:44" x14ac:dyDescent="0.25">
      <c r="AQ351" s="138" t="s">
        <v>54</v>
      </c>
      <c r="AR351" s="35"/>
    </row>
    <row r="352" spans="43:44" x14ac:dyDescent="0.25">
      <c r="AQ352" s="139" t="s">
        <v>60</v>
      </c>
      <c r="AR352" s="35"/>
    </row>
    <row r="353" spans="43:44" x14ac:dyDescent="0.25">
      <c r="AQ353" s="16">
        <v>89</v>
      </c>
      <c r="AR353" s="35"/>
    </row>
    <row r="354" spans="43:44" x14ac:dyDescent="0.25">
      <c r="AQ354" s="136" t="s">
        <v>54</v>
      </c>
      <c r="AR354" s="35"/>
    </row>
    <row r="355" spans="43:44" x14ac:dyDescent="0.25">
      <c r="AQ355" s="138" t="s">
        <v>54</v>
      </c>
      <c r="AR355" s="35"/>
    </row>
    <row r="356" spans="43:44" x14ac:dyDescent="0.25">
      <c r="AQ356" s="139" t="s">
        <v>60</v>
      </c>
      <c r="AR356" s="35"/>
    </row>
    <row r="357" spans="43:44" x14ac:dyDescent="0.25">
      <c r="AQ357" s="16">
        <v>90</v>
      </c>
      <c r="AR357" s="35"/>
    </row>
    <row r="358" spans="43:44" x14ac:dyDescent="0.25">
      <c r="AQ358" s="136" t="s">
        <v>54</v>
      </c>
      <c r="AR358" s="35"/>
    </row>
    <row r="359" spans="43:44" x14ac:dyDescent="0.25">
      <c r="AQ359" s="138" t="s">
        <v>54</v>
      </c>
      <c r="AR359" s="35"/>
    </row>
    <row r="360" spans="43:44" x14ac:dyDescent="0.25">
      <c r="AQ360" s="139" t="s">
        <v>60</v>
      </c>
      <c r="AR360" s="35"/>
    </row>
    <row r="361" spans="43:44" x14ac:dyDescent="0.25">
      <c r="AQ361" s="16">
        <v>91</v>
      </c>
      <c r="AR361" s="35"/>
    </row>
    <row r="362" spans="43:44" x14ac:dyDescent="0.25">
      <c r="AQ362" s="136" t="s">
        <v>54</v>
      </c>
      <c r="AR362" s="35"/>
    </row>
    <row r="363" spans="43:44" x14ac:dyDescent="0.25">
      <c r="AQ363" s="138" t="s">
        <v>54</v>
      </c>
      <c r="AR363" s="35"/>
    </row>
    <row r="364" spans="43:44" x14ac:dyDescent="0.25">
      <c r="AQ364" s="139" t="s">
        <v>60</v>
      </c>
      <c r="AR364" s="35"/>
    </row>
    <row r="365" spans="43:44" x14ac:dyDescent="0.25">
      <c r="AQ365" s="16">
        <v>92</v>
      </c>
      <c r="AR365" s="35"/>
    </row>
    <row r="366" spans="43:44" x14ac:dyDescent="0.25">
      <c r="AQ366" s="136" t="s">
        <v>54</v>
      </c>
      <c r="AR366" s="35"/>
    </row>
    <row r="367" spans="43:44" x14ac:dyDescent="0.25">
      <c r="AQ367" s="138" t="s">
        <v>54</v>
      </c>
      <c r="AR367" s="35"/>
    </row>
    <row r="368" spans="43:44" x14ac:dyDescent="0.25">
      <c r="AQ368" s="139" t="s">
        <v>60</v>
      </c>
      <c r="AR368" s="35"/>
    </row>
    <row r="369" spans="43:44" x14ac:dyDescent="0.25">
      <c r="AQ369" s="16">
        <v>93</v>
      </c>
      <c r="AR369" s="35"/>
    </row>
    <row r="370" spans="43:44" x14ac:dyDescent="0.25">
      <c r="AQ370" s="136" t="s">
        <v>54</v>
      </c>
      <c r="AR370" s="35"/>
    </row>
    <row r="371" spans="43:44" x14ac:dyDescent="0.25">
      <c r="AQ371" s="138" t="s">
        <v>54</v>
      </c>
      <c r="AR371" s="35"/>
    </row>
    <row r="372" spans="43:44" x14ac:dyDescent="0.25">
      <c r="AQ372" s="139" t="s">
        <v>60</v>
      </c>
      <c r="AR372" s="35"/>
    </row>
    <row r="373" spans="43:44" x14ac:dyDescent="0.25">
      <c r="AQ373" s="16">
        <v>94</v>
      </c>
      <c r="AR373" s="35"/>
    </row>
    <row r="374" spans="43:44" x14ac:dyDescent="0.25">
      <c r="AQ374" s="136" t="s">
        <v>54</v>
      </c>
      <c r="AR374" s="35"/>
    </row>
    <row r="375" spans="43:44" x14ac:dyDescent="0.25">
      <c r="AQ375" s="138" t="s">
        <v>54</v>
      </c>
      <c r="AR375" s="35"/>
    </row>
    <row r="376" spans="43:44" x14ac:dyDescent="0.25">
      <c r="AQ376" s="139" t="s">
        <v>60</v>
      </c>
      <c r="AR376" s="35"/>
    </row>
    <row r="377" spans="43:44" x14ac:dyDescent="0.25">
      <c r="AQ377" s="16">
        <v>95</v>
      </c>
      <c r="AR377" s="35"/>
    </row>
    <row r="378" spans="43:44" x14ac:dyDescent="0.25">
      <c r="AQ378" s="136" t="s">
        <v>54</v>
      </c>
      <c r="AR378" s="35"/>
    </row>
    <row r="379" spans="43:44" x14ac:dyDescent="0.25">
      <c r="AQ379" s="138" t="s">
        <v>54</v>
      </c>
      <c r="AR379" s="35"/>
    </row>
    <row r="380" spans="43:44" x14ac:dyDescent="0.25">
      <c r="AQ380" s="139" t="s">
        <v>60</v>
      </c>
      <c r="AR380" s="35"/>
    </row>
    <row r="381" spans="43:44" x14ac:dyDescent="0.25">
      <c r="AQ381" s="16">
        <v>96</v>
      </c>
      <c r="AR381" s="35"/>
    </row>
    <row r="382" spans="43:44" x14ac:dyDescent="0.25">
      <c r="AQ382" s="136" t="s">
        <v>54</v>
      </c>
      <c r="AR382" s="35"/>
    </row>
    <row r="383" spans="43:44" x14ac:dyDescent="0.25">
      <c r="AQ383" s="138" t="s">
        <v>54</v>
      </c>
      <c r="AR383" s="35"/>
    </row>
    <row r="384" spans="43:44" x14ac:dyDescent="0.25">
      <c r="AQ384" s="139" t="s">
        <v>60</v>
      </c>
      <c r="AR384" s="35"/>
    </row>
    <row r="385" spans="43:44" x14ac:dyDescent="0.25">
      <c r="AQ385" s="16">
        <v>97</v>
      </c>
      <c r="AR385" s="35"/>
    </row>
    <row r="386" spans="43:44" x14ac:dyDescent="0.25">
      <c r="AQ386" s="136" t="s">
        <v>54</v>
      </c>
      <c r="AR386" s="35"/>
    </row>
    <row r="387" spans="43:44" x14ac:dyDescent="0.25">
      <c r="AQ387" s="138" t="s">
        <v>54</v>
      </c>
      <c r="AR387" s="35"/>
    </row>
    <row r="388" spans="43:44" x14ac:dyDescent="0.25">
      <c r="AQ388" s="139" t="s">
        <v>60</v>
      </c>
      <c r="AR388" s="35"/>
    </row>
    <row r="389" spans="43:44" x14ac:dyDescent="0.25">
      <c r="AQ389" s="16">
        <v>98</v>
      </c>
      <c r="AR389" s="35">
        <v>0</v>
      </c>
    </row>
    <row r="390" spans="43:44" x14ac:dyDescent="0.25">
      <c r="AQ390" s="136" t="s">
        <v>54</v>
      </c>
      <c r="AR390" s="35">
        <v>0</v>
      </c>
    </row>
    <row r="391" spans="43:44" x14ac:dyDescent="0.25">
      <c r="AQ391" s="138" t="s">
        <v>54</v>
      </c>
      <c r="AR391" s="35">
        <v>0</v>
      </c>
    </row>
    <row r="392" spans="43:44" x14ac:dyDescent="0.25">
      <c r="AQ392" s="139" t="s">
        <v>60</v>
      </c>
      <c r="AR392" s="35">
        <v>0</v>
      </c>
    </row>
    <row r="393" spans="43:44" x14ac:dyDescent="0.25">
      <c r="AQ393" s="16">
        <v>99</v>
      </c>
      <c r="AR393" s="35">
        <v>0</v>
      </c>
    </row>
    <row r="394" spans="43:44" x14ac:dyDescent="0.25">
      <c r="AQ394" s="136" t="s">
        <v>54</v>
      </c>
      <c r="AR394" s="35">
        <v>0</v>
      </c>
    </row>
    <row r="395" spans="43:44" x14ac:dyDescent="0.25">
      <c r="AQ395" s="138" t="s">
        <v>54</v>
      </c>
      <c r="AR395" s="35">
        <v>0</v>
      </c>
    </row>
    <row r="396" spans="43:44" x14ac:dyDescent="0.25">
      <c r="AQ396" s="139" t="s">
        <v>60</v>
      </c>
      <c r="AR396" s="35">
        <v>0</v>
      </c>
    </row>
    <row r="397" spans="43:44" x14ac:dyDescent="0.25">
      <c r="AQ397" s="16">
        <v>100</v>
      </c>
      <c r="AR397" s="35">
        <v>0</v>
      </c>
    </row>
    <row r="398" spans="43:44" x14ac:dyDescent="0.25">
      <c r="AQ398" s="136" t="s">
        <v>54</v>
      </c>
      <c r="AR398" s="35">
        <v>0</v>
      </c>
    </row>
    <row r="399" spans="43:44" x14ac:dyDescent="0.25">
      <c r="AQ399" s="138" t="s">
        <v>54</v>
      </c>
      <c r="AR399" s="35">
        <v>0</v>
      </c>
    </row>
    <row r="400" spans="43:44" x14ac:dyDescent="0.25">
      <c r="AQ400" s="139" t="s">
        <v>60</v>
      </c>
      <c r="AR400" s="35">
        <v>0</v>
      </c>
    </row>
    <row r="401" spans="43:44" x14ac:dyDescent="0.25">
      <c r="AQ401" s="16">
        <v>101</v>
      </c>
      <c r="AR401" s="35">
        <v>0</v>
      </c>
    </row>
    <row r="402" spans="43:44" x14ac:dyDescent="0.25">
      <c r="AQ402" s="136" t="s">
        <v>54</v>
      </c>
      <c r="AR402" s="35">
        <v>0</v>
      </c>
    </row>
    <row r="403" spans="43:44" x14ac:dyDescent="0.25">
      <c r="AQ403" s="138" t="s">
        <v>54</v>
      </c>
      <c r="AR403" s="35">
        <v>0</v>
      </c>
    </row>
    <row r="404" spans="43:44" x14ac:dyDescent="0.25">
      <c r="AQ404" s="139" t="s">
        <v>60</v>
      </c>
      <c r="AR404" s="35">
        <v>0</v>
      </c>
    </row>
    <row r="405" spans="43:44" x14ac:dyDescent="0.25">
      <c r="AQ405" s="16">
        <v>102</v>
      </c>
      <c r="AR405" s="35">
        <v>0</v>
      </c>
    </row>
    <row r="406" spans="43:44" x14ac:dyDescent="0.25">
      <c r="AQ406" s="136" t="s">
        <v>54</v>
      </c>
      <c r="AR406" s="35">
        <v>0</v>
      </c>
    </row>
    <row r="407" spans="43:44" x14ac:dyDescent="0.25">
      <c r="AQ407" s="138" t="s">
        <v>54</v>
      </c>
      <c r="AR407" s="35">
        <v>0</v>
      </c>
    </row>
    <row r="408" spans="43:44" x14ac:dyDescent="0.25">
      <c r="AQ408" s="139" t="s">
        <v>60</v>
      </c>
      <c r="AR408" s="35">
        <v>0</v>
      </c>
    </row>
    <row r="409" spans="43:44" x14ac:dyDescent="0.25">
      <c r="AQ409" s="16">
        <v>103</v>
      </c>
      <c r="AR409" s="35">
        <v>0</v>
      </c>
    </row>
    <row r="410" spans="43:44" x14ac:dyDescent="0.25">
      <c r="AQ410" s="136" t="s">
        <v>54</v>
      </c>
      <c r="AR410" s="35">
        <v>0</v>
      </c>
    </row>
    <row r="411" spans="43:44" x14ac:dyDescent="0.25">
      <c r="AQ411" s="138" t="s">
        <v>54</v>
      </c>
      <c r="AR411" s="35">
        <v>0</v>
      </c>
    </row>
    <row r="412" spans="43:44" x14ac:dyDescent="0.25">
      <c r="AQ412" s="139" t="s">
        <v>60</v>
      </c>
      <c r="AR412" s="35">
        <v>0</v>
      </c>
    </row>
    <row r="413" spans="43:44" x14ac:dyDescent="0.25">
      <c r="AQ413" s="16">
        <v>104</v>
      </c>
      <c r="AR413" s="35">
        <v>0</v>
      </c>
    </row>
    <row r="414" spans="43:44" x14ac:dyDescent="0.25">
      <c r="AQ414" s="136" t="s">
        <v>54</v>
      </c>
      <c r="AR414" s="35">
        <v>0</v>
      </c>
    </row>
    <row r="415" spans="43:44" x14ac:dyDescent="0.25">
      <c r="AQ415" s="138" t="s">
        <v>54</v>
      </c>
      <c r="AR415" s="35">
        <v>0</v>
      </c>
    </row>
    <row r="416" spans="43:44" x14ac:dyDescent="0.25">
      <c r="AQ416" s="139" t="s">
        <v>60</v>
      </c>
      <c r="AR416" s="35">
        <v>0</v>
      </c>
    </row>
    <row r="417" spans="43:44" x14ac:dyDescent="0.25">
      <c r="AQ417" s="16">
        <v>105</v>
      </c>
      <c r="AR417" s="35">
        <v>0</v>
      </c>
    </row>
    <row r="418" spans="43:44" x14ac:dyDescent="0.25">
      <c r="AQ418" s="136" t="s">
        <v>54</v>
      </c>
      <c r="AR418" s="35">
        <v>0</v>
      </c>
    </row>
    <row r="419" spans="43:44" x14ac:dyDescent="0.25">
      <c r="AQ419" s="138" t="s">
        <v>54</v>
      </c>
      <c r="AR419" s="35">
        <v>0</v>
      </c>
    </row>
    <row r="420" spans="43:44" x14ac:dyDescent="0.25">
      <c r="AQ420" s="139" t="s">
        <v>60</v>
      </c>
      <c r="AR420" s="35">
        <v>0</v>
      </c>
    </row>
    <row r="421" spans="43:44" x14ac:dyDescent="0.25">
      <c r="AQ421" s="16">
        <v>106</v>
      </c>
      <c r="AR421" s="35">
        <v>0</v>
      </c>
    </row>
    <row r="422" spans="43:44" x14ac:dyDescent="0.25">
      <c r="AQ422" s="136" t="s">
        <v>54</v>
      </c>
      <c r="AR422" s="35">
        <v>0</v>
      </c>
    </row>
    <row r="423" spans="43:44" x14ac:dyDescent="0.25">
      <c r="AQ423" s="138" t="s">
        <v>54</v>
      </c>
      <c r="AR423" s="35">
        <v>0</v>
      </c>
    </row>
    <row r="424" spans="43:44" x14ac:dyDescent="0.25">
      <c r="AQ424" s="139" t="s">
        <v>60</v>
      </c>
      <c r="AR424" s="35">
        <v>0</v>
      </c>
    </row>
    <row r="425" spans="43:44" x14ac:dyDescent="0.25">
      <c r="AQ425" s="16">
        <v>107</v>
      </c>
      <c r="AR425" s="35">
        <v>0</v>
      </c>
    </row>
    <row r="426" spans="43:44" x14ac:dyDescent="0.25">
      <c r="AQ426" s="136" t="s">
        <v>54</v>
      </c>
      <c r="AR426" s="35">
        <v>0</v>
      </c>
    </row>
    <row r="427" spans="43:44" x14ac:dyDescent="0.25">
      <c r="AQ427" s="138" t="s">
        <v>54</v>
      </c>
      <c r="AR427" s="35">
        <v>0</v>
      </c>
    </row>
    <row r="428" spans="43:44" x14ac:dyDescent="0.25">
      <c r="AQ428" s="139" t="s">
        <v>60</v>
      </c>
      <c r="AR428" s="35">
        <v>0</v>
      </c>
    </row>
    <row r="429" spans="43:44" x14ac:dyDescent="0.25">
      <c r="AQ429" s="16">
        <v>108</v>
      </c>
      <c r="AR429" s="35">
        <v>0</v>
      </c>
    </row>
    <row r="430" spans="43:44" x14ac:dyDescent="0.25">
      <c r="AQ430" s="136" t="s">
        <v>54</v>
      </c>
      <c r="AR430" s="35">
        <v>0</v>
      </c>
    </row>
    <row r="431" spans="43:44" x14ac:dyDescent="0.25">
      <c r="AQ431" s="138" t="s">
        <v>54</v>
      </c>
      <c r="AR431" s="35">
        <v>0</v>
      </c>
    </row>
    <row r="432" spans="43:44" x14ac:dyDescent="0.25">
      <c r="AQ432" s="139" t="s">
        <v>60</v>
      </c>
      <c r="AR432" s="35">
        <v>0</v>
      </c>
    </row>
    <row r="433" spans="43:44" x14ac:dyDescent="0.25">
      <c r="AQ433" s="16">
        <v>109</v>
      </c>
      <c r="AR433" s="35">
        <v>0</v>
      </c>
    </row>
    <row r="434" spans="43:44" x14ac:dyDescent="0.25">
      <c r="AQ434" s="136" t="s">
        <v>54</v>
      </c>
      <c r="AR434" s="35">
        <v>0</v>
      </c>
    </row>
    <row r="435" spans="43:44" x14ac:dyDescent="0.25">
      <c r="AQ435" s="138" t="s">
        <v>54</v>
      </c>
      <c r="AR435" s="35">
        <v>0</v>
      </c>
    </row>
    <row r="436" spans="43:44" x14ac:dyDescent="0.25">
      <c r="AQ436" s="139" t="s">
        <v>60</v>
      </c>
      <c r="AR436" s="35">
        <v>0</v>
      </c>
    </row>
    <row r="437" spans="43:44" x14ac:dyDescent="0.25">
      <c r="AQ437" s="16">
        <v>110</v>
      </c>
      <c r="AR437" s="35">
        <v>0</v>
      </c>
    </row>
    <row r="438" spans="43:44" x14ac:dyDescent="0.25">
      <c r="AQ438" s="136" t="s">
        <v>54</v>
      </c>
      <c r="AR438" s="35">
        <v>0</v>
      </c>
    </row>
    <row r="439" spans="43:44" x14ac:dyDescent="0.25">
      <c r="AQ439" s="138" t="s">
        <v>54</v>
      </c>
      <c r="AR439" s="35">
        <v>0</v>
      </c>
    </row>
    <row r="440" spans="43:44" x14ac:dyDescent="0.25">
      <c r="AQ440" s="139" t="s">
        <v>60</v>
      </c>
      <c r="AR440" s="35">
        <v>0</v>
      </c>
    </row>
    <row r="441" spans="43:44" x14ac:dyDescent="0.25">
      <c r="AQ441" s="16">
        <v>111</v>
      </c>
      <c r="AR441" s="35">
        <v>0</v>
      </c>
    </row>
    <row r="442" spans="43:44" x14ac:dyDescent="0.25">
      <c r="AQ442" s="136" t="s">
        <v>54</v>
      </c>
      <c r="AR442" s="35">
        <v>0</v>
      </c>
    </row>
    <row r="443" spans="43:44" x14ac:dyDescent="0.25">
      <c r="AQ443" s="138" t="s">
        <v>54</v>
      </c>
      <c r="AR443" s="35">
        <v>0</v>
      </c>
    </row>
    <row r="444" spans="43:44" x14ac:dyDescent="0.25">
      <c r="AQ444" s="139" t="s">
        <v>60</v>
      </c>
      <c r="AR444" s="35">
        <v>0</v>
      </c>
    </row>
    <row r="445" spans="43:44" x14ac:dyDescent="0.25">
      <c r="AQ445" s="16">
        <v>112</v>
      </c>
      <c r="AR445" s="35">
        <v>0</v>
      </c>
    </row>
    <row r="446" spans="43:44" x14ac:dyDescent="0.25">
      <c r="AQ446" s="136" t="s">
        <v>54</v>
      </c>
      <c r="AR446" s="35">
        <v>0</v>
      </c>
    </row>
    <row r="447" spans="43:44" x14ac:dyDescent="0.25">
      <c r="AQ447" s="138" t="s">
        <v>54</v>
      </c>
      <c r="AR447" s="35">
        <v>0</v>
      </c>
    </row>
    <row r="448" spans="43:44" x14ac:dyDescent="0.25">
      <c r="AQ448" s="139" t="s">
        <v>60</v>
      </c>
      <c r="AR448" s="35">
        <v>0</v>
      </c>
    </row>
    <row r="449" spans="43:44" x14ac:dyDescent="0.25">
      <c r="AQ449" s="16">
        <v>113</v>
      </c>
      <c r="AR449" s="35">
        <v>0</v>
      </c>
    </row>
    <row r="450" spans="43:44" x14ac:dyDescent="0.25">
      <c r="AQ450" s="136" t="s">
        <v>54</v>
      </c>
      <c r="AR450" s="35">
        <v>0</v>
      </c>
    </row>
    <row r="451" spans="43:44" x14ac:dyDescent="0.25">
      <c r="AQ451" s="138" t="s">
        <v>54</v>
      </c>
      <c r="AR451" s="35">
        <v>0</v>
      </c>
    </row>
    <row r="452" spans="43:44" x14ac:dyDescent="0.25">
      <c r="AQ452" s="139" t="s">
        <v>60</v>
      </c>
      <c r="AR452" s="35">
        <v>0</v>
      </c>
    </row>
    <row r="453" spans="43:44" x14ac:dyDescent="0.25">
      <c r="AQ453" s="16">
        <v>114</v>
      </c>
      <c r="AR453" s="35">
        <v>0</v>
      </c>
    </row>
    <row r="454" spans="43:44" x14ac:dyDescent="0.25">
      <c r="AQ454" s="136" t="s">
        <v>54</v>
      </c>
      <c r="AR454" s="35">
        <v>0</v>
      </c>
    </row>
    <row r="455" spans="43:44" x14ac:dyDescent="0.25">
      <c r="AQ455" s="138" t="s">
        <v>54</v>
      </c>
      <c r="AR455" s="35">
        <v>0</v>
      </c>
    </row>
    <row r="456" spans="43:44" x14ac:dyDescent="0.25">
      <c r="AQ456" s="139" t="s">
        <v>60</v>
      </c>
      <c r="AR456" s="35">
        <v>0</v>
      </c>
    </row>
    <row r="457" spans="43:44" x14ac:dyDescent="0.25">
      <c r="AQ457" s="16">
        <v>115</v>
      </c>
      <c r="AR457" s="35">
        <v>0</v>
      </c>
    </row>
    <row r="458" spans="43:44" x14ac:dyDescent="0.25">
      <c r="AQ458" s="136" t="s">
        <v>54</v>
      </c>
      <c r="AR458" s="35">
        <v>0</v>
      </c>
    </row>
    <row r="459" spans="43:44" x14ac:dyDescent="0.25">
      <c r="AQ459" s="138" t="s">
        <v>54</v>
      </c>
      <c r="AR459" s="35">
        <v>0</v>
      </c>
    </row>
    <row r="460" spans="43:44" x14ac:dyDescent="0.25">
      <c r="AQ460" s="139" t="s">
        <v>60</v>
      </c>
      <c r="AR460" s="35">
        <v>0</v>
      </c>
    </row>
    <row r="461" spans="43:44" x14ac:dyDescent="0.25">
      <c r="AQ461" s="16">
        <v>116</v>
      </c>
      <c r="AR461" s="35">
        <v>0</v>
      </c>
    </row>
    <row r="462" spans="43:44" x14ac:dyDescent="0.25">
      <c r="AQ462" s="136" t="s">
        <v>54</v>
      </c>
      <c r="AR462" s="35">
        <v>0</v>
      </c>
    </row>
    <row r="463" spans="43:44" x14ac:dyDescent="0.25">
      <c r="AQ463" s="138" t="s">
        <v>54</v>
      </c>
      <c r="AR463" s="35">
        <v>0</v>
      </c>
    </row>
    <row r="464" spans="43:44" x14ac:dyDescent="0.25">
      <c r="AQ464" s="139" t="s">
        <v>60</v>
      </c>
      <c r="AR464" s="35">
        <v>0</v>
      </c>
    </row>
    <row r="465" spans="43:44" x14ac:dyDescent="0.25">
      <c r="AQ465" s="16">
        <v>117</v>
      </c>
      <c r="AR465" s="35">
        <v>0</v>
      </c>
    </row>
    <row r="466" spans="43:44" x14ac:dyDescent="0.25">
      <c r="AQ466" s="136" t="s">
        <v>54</v>
      </c>
      <c r="AR466" s="35">
        <v>0</v>
      </c>
    </row>
    <row r="467" spans="43:44" x14ac:dyDescent="0.25">
      <c r="AQ467" s="138" t="s">
        <v>54</v>
      </c>
      <c r="AR467" s="35">
        <v>0</v>
      </c>
    </row>
    <row r="468" spans="43:44" x14ac:dyDescent="0.25">
      <c r="AQ468" s="139" t="s">
        <v>60</v>
      </c>
      <c r="AR468" s="35">
        <v>0</v>
      </c>
    </row>
    <row r="469" spans="43:44" x14ac:dyDescent="0.25">
      <c r="AQ469" s="16">
        <v>118</v>
      </c>
      <c r="AR469" s="35">
        <v>0</v>
      </c>
    </row>
    <row r="470" spans="43:44" x14ac:dyDescent="0.25">
      <c r="AQ470" s="136" t="s">
        <v>54</v>
      </c>
      <c r="AR470" s="35">
        <v>0</v>
      </c>
    </row>
    <row r="471" spans="43:44" x14ac:dyDescent="0.25">
      <c r="AQ471" s="138" t="s">
        <v>54</v>
      </c>
      <c r="AR471" s="35">
        <v>0</v>
      </c>
    </row>
    <row r="472" spans="43:44" x14ac:dyDescent="0.25">
      <c r="AQ472" s="139" t="s">
        <v>60</v>
      </c>
      <c r="AR472" s="35">
        <v>0</v>
      </c>
    </row>
    <row r="473" spans="43:44" x14ac:dyDescent="0.25">
      <c r="AQ473" s="16">
        <v>119</v>
      </c>
      <c r="AR473" s="35">
        <v>0</v>
      </c>
    </row>
    <row r="474" spans="43:44" x14ac:dyDescent="0.25">
      <c r="AQ474" s="136" t="s">
        <v>54</v>
      </c>
      <c r="AR474" s="35">
        <v>0</v>
      </c>
    </row>
    <row r="475" spans="43:44" x14ac:dyDescent="0.25">
      <c r="AQ475" s="138" t="s">
        <v>54</v>
      </c>
      <c r="AR475" s="35">
        <v>0</v>
      </c>
    </row>
    <row r="476" spans="43:44" x14ac:dyDescent="0.25">
      <c r="AQ476" s="139" t="s">
        <v>60</v>
      </c>
      <c r="AR476" s="35">
        <v>0</v>
      </c>
    </row>
    <row r="477" spans="43:44" x14ac:dyDescent="0.25">
      <c r="AQ477" s="16">
        <v>120</v>
      </c>
      <c r="AR477" s="35">
        <v>0</v>
      </c>
    </row>
    <row r="478" spans="43:44" x14ac:dyDescent="0.25">
      <c r="AQ478" s="136" t="s">
        <v>54</v>
      </c>
      <c r="AR478" s="35">
        <v>0</v>
      </c>
    </row>
    <row r="479" spans="43:44" x14ac:dyDescent="0.25">
      <c r="AQ479" s="138" t="s">
        <v>54</v>
      </c>
      <c r="AR479" s="35">
        <v>0</v>
      </c>
    </row>
    <row r="480" spans="43:44" x14ac:dyDescent="0.25">
      <c r="AQ480" s="139" t="s">
        <v>60</v>
      </c>
      <c r="AR480" s="35">
        <v>0</v>
      </c>
    </row>
    <row r="481" spans="43:44" x14ac:dyDescent="0.25">
      <c r="AQ481" s="16">
        <v>121</v>
      </c>
      <c r="AR481" s="35">
        <v>0</v>
      </c>
    </row>
    <row r="482" spans="43:44" x14ac:dyDescent="0.25">
      <c r="AQ482" s="136" t="s">
        <v>54</v>
      </c>
      <c r="AR482" s="35">
        <v>0</v>
      </c>
    </row>
    <row r="483" spans="43:44" x14ac:dyDescent="0.25">
      <c r="AQ483" s="138" t="s">
        <v>54</v>
      </c>
      <c r="AR483" s="35">
        <v>0</v>
      </c>
    </row>
    <row r="484" spans="43:44" x14ac:dyDescent="0.25">
      <c r="AQ484" s="139" t="s">
        <v>60</v>
      </c>
      <c r="AR484" s="35">
        <v>0</v>
      </c>
    </row>
    <row r="485" spans="43:44" x14ac:dyDescent="0.25">
      <c r="AQ485" s="16">
        <v>122</v>
      </c>
      <c r="AR485" s="35">
        <v>0</v>
      </c>
    </row>
    <row r="486" spans="43:44" x14ac:dyDescent="0.25">
      <c r="AQ486" s="136" t="s">
        <v>54</v>
      </c>
      <c r="AR486" s="35">
        <v>0</v>
      </c>
    </row>
    <row r="487" spans="43:44" x14ac:dyDescent="0.25">
      <c r="AQ487" s="138" t="s">
        <v>54</v>
      </c>
      <c r="AR487" s="35">
        <v>0</v>
      </c>
    </row>
    <row r="488" spans="43:44" x14ac:dyDescent="0.25">
      <c r="AQ488" s="139" t="s">
        <v>60</v>
      </c>
      <c r="AR488" s="35">
        <v>0</v>
      </c>
    </row>
    <row r="489" spans="43:44" x14ac:dyDescent="0.25">
      <c r="AQ489" s="16">
        <v>123</v>
      </c>
      <c r="AR489" s="35">
        <v>0</v>
      </c>
    </row>
    <row r="490" spans="43:44" x14ac:dyDescent="0.25">
      <c r="AQ490" s="136" t="s">
        <v>54</v>
      </c>
      <c r="AR490" s="35">
        <v>0</v>
      </c>
    </row>
    <row r="491" spans="43:44" x14ac:dyDescent="0.25">
      <c r="AQ491" s="138" t="s">
        <v>54</v>
      </c>
      <c r="AR491" s="35">
        <v>0</v>
      </c>
    </row>
    <row r="492" spans="43:44" x14ac:dyDescent="0.25">
      <c r="AQ492" s="139" t="s">
        <v>60</v>
      </c>
      <c r="AR492" s="35">
        <v>0</v>
      </c>
    </row>
    <row r="493" spans="43:44" x14ac:dyDescent="0.25">
      <c r="AQ493" s="16">
        <v>124</v>
      </c>
      <c r="AR493" s="35">
        <v>0</v>
      </c>
    </row>
    <row r="494" spans="43:44" x14ac:dyDescent="0.25">
      <c r="AQ494" s="136" t="s">
        <v>54</v>
      </c>
      <c r="AR494" s="35">
        <v>0</v>
      </c>
    </row>
    <row r="495" spans="43:44" x14ac:dyDescent="0.25">
      <c r="AQ495" s="138" t="s">
        <v>54</v>
      </c>
      <c r="AR495" s="35">
        <v>0</v>
      </c>
    </row>
    <row r="496" spans="43:44" x14ac:dyDescent="0.25">
      <c r="AQ496" s="139" t="s">
        <v>60</v>
      </c>
      <c r="AR496" s="35">
        <v>0</v>
      </c>
    </row>
    <row r="497" spans="43:44" x14ac:dyDescent="0.25">
      <c r="AQ497" s="16">
        <v>125</v>
      </c>
      <c r="AR497" s="35">
        <v>0</v>
      </c>
    </row>
    <row r="498" spans="43:44" x14ac:dyDescent="0.25">
      <c r="AQ498" s="136" t="s">
        <v>54</v>
      </c>
      <c r="AR498" s="35">
        <v>0</v>
      </c>
    </row>
    <row r="499" spans="43:44" x14ac:dyDescent="0.25">
      <c r="AQ499" s="138" t="s">
        <v>54</v>
      </c>
      <c r="AR499" s="35">
        <v>0</v>
      </c>
    </row>
    <row r="500" spans="43:44" x14ac:dyDescent="0.25">
      <c r="AQ500" s="139" t="s">
        <v>60</v>
      </c>
      <c r="AR500" s="35">
        <v>0</v>
      </c>
    </row>
    <row r="501" spans="43:44" x14ac:dyDescent="0.25">
      <c r="AQ501" s="16">
        <v>126</v>
      </c>
      <c r="AR501" s="35">
        <v>0</v>
      </c>
    </row>
    <row r="502" spans="43:44" x14ac:dyDescent="0.25">
      <c r="AQ502" s="136" t="s">
        <v>54</v>
      </c>
      <c r="AR502" s="35">
        <v>0</v>
      </c>
    </row>
    <row r="503" spans="43:44" x14ac:dyDescent="0.25">
      <c r="AQ503" s="138" t="s">
        <v>54</v>
      </c>
      <c r="AR503" s="35">
        <v>0</v>
      </c>
    </row>
    <row r="504" spans="43:44" x14ac:dyDescent="0.25">
      <c r="AQ504" s="139" t="s">
        <v>60</v>
      </c>
      <c r="AR504" s="35">
        <v>0</v>
      </c>
    </row>
    <row r="505" spans="43:44" x14ac:dyDescent="0.25">
      <c r="AQ505" s="16">
        <v>127</v>
      </c>
      <c r="AR505" s="35">
        <v>0</v>
      </c>
    </row>
    <row r="506" spans="43:44" x14ac:dyDescent="0.25">
      <c r="AQ506" s="136" t="s">
        <v>54</v>
      </c>
      <c r="AR506" s="35">
        <v>0</v>
      </c>
    </row>
    <row r="507" spans="43:44" x14ac:dyDescent="0.25">
      <c r="AQ507" s="138" t="s">
        <v>54</v>
      </c>
      <c r="AR507" s="35">
        <v>0</v>
      </c>
    </row>
    <row r="508" spans="43:44" x14ac:dyDescent="0.25">
      <c r="AQ508" s="139" t="s">
        <v>60</v>
      </c>
      <c r="AR508" s="35">
        <v>0</v>
      </c>
    </row>
    <row r="509" spans="43:44" x14ac:dyDescent="0.25">
      <c r="AQ509" s="16">
        <v>128</v>
      </c>
      <c r="AR509" s="35">
        <v>0</v>
      </c>
    </row>
    <row r="510" spans="43:44" x14ac:dyDescent="0.25">
      <c r="AQ510" s="136" t="s">
        <v>54</v>
      </c>
      <c r="AR510" s="35">
        <v>0</v>
      </c>
    </row>
    <row r="511" spans="43:44" x14ac:dyDescent="0.25">
      <c r="AQ511" s="138" t="s">
        <v>54</v>
      </c>
      <c r="AR511" s="35">
        <v>0</v>
      </c>
    </row>
    <row r="512" spans="43:44" x14ac:dyDescent="0.25">
      <c r="AQ512" s="139" t="s">
        <v>60</v>
      </c>
      <c r="AR512" s="35">
        <v>0</v>
      </c>
    </row>
    <row r="513" spans="43:44" x14ac:dyDescent="0.25">
      <c r="AQ513" s="16">
        <v>129</v>
      </c>
      <c r="AR513" s="35">
        <v>0</v>
      </c>
    </row>
    <row r="514" spans="43:44" x14ac:dyDescent="0.25">
      <c r="AQ514" s="136" t="s">
        <v>54</v>
      </c>
      <c r="AR514" s="35">
        <v>0</v>
      </c>
    </row>
    <row r="515" spans="43:44" x14ac:dyDescent="0.25">
      <c r="AQ515" s="138" t="s">
        <v>54</v>
      </c>
      <c r="AR515" s="35">
        <v>0</v>
      </c>
    </row>
    <row r="516" spans="43:44" x14ac:dyDescent="0.25">
      <c r="AQ516" s="139" t="s">
        <v>60</v>
      </c>
      <c r="AR516" s="35">
        <v>0</v>
      </c>
    </row>
    <row r="517" spans="43:44" x14ac:dyDescent="0.25">
      <c r="AQ517" s="16">
        <v>130</v>
      </c>
      <c r="AR517" s="35">
        <v>0</v>
      </c>
    </row>
    <row r="518" spans="43:44" x14ac:dyDescent="0.25">
      <c r="AQ518" s="136" t="s">
        <v>54</v>
      </c>
      <c r="AR518" s="35">
        <v>0</v>
      </c>
    </row>
    <row r="519" spans="43:44" x14ac:dyDescent="0.25">
      <c r="AQ519" s="138" t="s">
        <v>54</v>
      </c>
      <c r="AR519" s="35">
        <v>0</v>
      </c>
    </row>
    <row r="520" spans="43:44" x14ac:dyDescent="0.25">
      <c r="AQ520" s="139" t="s">
        <v>60</v>
      </c>
      <c r="AR520" s="35">
        <v>0</v>
      </c>
    </row>
    <row r="521" spans="43:44" x14ac:dyDescent="0.25">
      <c r="AQ521" s="16">
        <v>131</v>
      </c>
      <c r="AR521" s="35">
        <v>0</v>
      </c>
    </row>
    <row r="522" spans="43:44" x14ac:dyDescent="0.25">
      <c r="AQ522" s="136" t="s">
        <v>54</v>
      </c>
      <c r="AR522" s="35">
        <v>0</v>
      </c>
    </row>
    <row r="523" spans="43:44" x14ac:dyDescent="0.25">
      <c r="AQ523" s="138" t="s">
        <v>54</v>
      </c>
      <c r="AR523" s="35">
        <v>0</v>
      </c>
    </row>
    <row r="524" spans="43:44" x14ac:dyDescent="0.25">
      <c r="AQ524" s="139" t="s">
        <v>60</v>
      </c>
      <c r="AR524" s="35">
        <v>0</v>
      </c>
    </row>
    <row r="525" spans="43:44" x14ac:dyDescent="0.25">
      <c r="AQ525" s="16">
        <v>132</v>
      </c>
      <c r="AR525" s="35">
        <v>0</v>
      </c>
    </row>
    <row r="526" spans="43:44" x14ac:dyDescent="0.25">
      <c r="AQ526" s="136" t="s">
        <v>54</v>
      </c>
      <c r="AR526" s="35">
        <v>0</v>
      </c>
    </row>
    <row r="527" spans="43:44" x14ac:dyDescent="0.25">
      <c r="AQ527" s="138" t="s">
        <v>54</v>
      </c>
      <c r="AR527" s="35">
        <v>0</v>
      </c>
    </row>
    <row r="528" spans="43:44" x14ac:dyDescent="0.25">
      <c r="AQ528" s="139" t="s">
        <v>60</v>
      </c>
      <c r="AR528" s="35">
        <v>0</v>
      </c>
    </row>
    <row r="529" spans="43:44" x14ac:dyDescent="0.25">
      <c r="AQ529" s="16">
        <v>133</v>
      </c>
      <c r="AR529" s="35">
        <v>0</v>
      </c>
    </row>
    <row r="530" spans="43:44" x14ac:dyDescent="0.25">
      <c r="AQ530" s="136" t="s">
        <v>54</v>
      </c>
      <c r="AR530" s="35">
        <v>0</v>
      </c>
    </row>
    <row r="531" spans="43:44" x14ac:dyDescent="0.25">
      <c r="AQ531" s="138" t="s">
        <v>54</v>
      </c>
      <c r="AR531" s="35">
        <v>0</v>
      </c>
    </row>
    <row r="532" spans="43:44" x14ac:dyDescent="0.25">
      <c r="AQ532" s="139" t="s">
        <v>60</v>
      </c>
      <c r="AR532" s="35">
        <v>0</v>
      </c>
    </row>
    <row r="533" spans="43:44" x14ac:dyDescent="0.25">
      <c r="AQ533" s="16">
        <v>134</v>
      </c>
      <c r="AR533" s="35">
        <v>0</v>
      </c>
    </row>
    <row r="534" spans="43:44" x14ac:dyDescent="0.25">
      <c r="AQ534" s="136" t="s">
        <v>54</v>
      </c>
      <c r="AR534" s="35">
        <v>0</v>
      </c>
    </row>
    <row r="535" spans="43:44" x14ac:dyDescent="0.25">
      <c r="AQ535" s="138" t="s">
        <v>54</v>
      </c>
      <c r="AR535" s="35">
        <v>0</v>
      </c>
    </row>
    <row r="536" spans="43:44" x14ac:dyDescent="0.25">
      <c r="AQ536" s="139" t="s">
        <v>60</v>
      </c>
      <c r="AR536" s="35">
        <v>0</v>
      </c>
    </row>
    <row r="537" spans="43:44" x14ac:dyDescent="0.25">
      <c r="AQ537" s="16">
        <v>135</v>
      </c>
      <c r="AR537" s="35">
        <v>0</v>
      </c>
    </row>
    <row r="538" spans="43:44" x14ac:dyDescent="0.25">
      <c r="AQ538" s="136" t="s">
        <v>54</v>
      </c>
      <c r="AR538" s="35">
        <v>0</v>
      </c>
    </row>
    <row r="539" spans="43:44" x14ac:dyDescent="0.25">
      <c r="AQ539" s="138" t="s">
        <v>54</v>
      </c>
      <c r="AR539" s="35">
        <v>0</v>
      </c>
    </row>
    <row r="540" spans="43:44" x14ac:dyDescent="0.25">
      <c r="AQ540" s="139" t="s">
        <v>60</v>
      </c>
      <c r="AR540" s="35">
        <v>0</v>
      </c>
    </row>
    <row r="541" spans="43:44" x14ac:dyDescent="0.25">
      <c r="AQ541" s="16">
        <v>136</v>
      </c>
      <c r="AR541" s="35">
        <v>0</v>
      </c>
    </row>
    <row r="542" spans="43:44" x14ac:dyDescent="0.25">
      <c r="AQ542" s="136" t="s">
        <v>54</v>
      </c>
      <c r="AR542" s="35">
        <v>0</v>
      </c>
    </row>
    <row r="543" spans="43:44" x14ac:dyDescent="0.25">
      <c r="AQ543" s="138" t="s">
        <v>54</v>
      </c>
      <c r="AR543" s="35">
        <v>0</v>
      </c>
    </row>
    <row r="544" spans="43:44" x14ac:dyDescent="0.25">
      <c r="AQ544" s="139" t="s">
        <v>60</v>
      </c>
      <c r="AR544" s="35">
        <v>0</v>
      </c>
    </row>
    <row r="545" spans="43:44" x14ac:dyDescent="0.25">
      <c r="AQ545" s="16">
        <v>137</v>
      </c>
      <c r="AR545" s="35">
        <v>0</v>
      </c>
    </row>
    <row r="546" spans="43:44" x14ac:dyDescent="0.25">
      <c r="AQ546" s="136" t="s">
        <v>54</v>
      </c>
      <c r="AR546" s="35">
        <v>0</v>
      </c>
    </row>
    <row r="547" spans="43:44" x14ac:dyDescent="0.25">
      <c r="AQ547" s="138" t="s">
        <v>54</v>
      </c>
      <c r="AR547" s="35">
        <v>0</v>
      </c>
    </row>
    <row r="548" spans="43:44" x14ac:dyDescent="0.25">
      <c r="AQ548" s="139" t="s">
        <v>60</v>
      </c>
      <c r="AR548" s="35">
        <v>0</v>
      </c>
    </row>
    <row r="549" spans="43:44" x14ac:dyDescent="0.25">
      <c r="AQ549" s="16">
        <v>138</v>
      </c>
      <c r="AR549" s="35">
        <v>0</v>
      </c>
    </row>
    <row r="550" spans="43:44" x14ac:dyDescent="0.25">
      <c r="AQ550" s="136" t="s">
        <v>54</v>
      </c>
      <c r="AR550" s="35">
        <v>0</v>
      </c>
    </row>
    <row r="551" spans="43:44" x14ac:dyDescent="0.25">
      <c r="AQ551" s="138" t="s">
        <v>54</v>
      </c>
      <c r="AR551" s="35">
        <v>0</v>
      </c>
    </row>
    <row r="552" spans="43:44" x14ac:dyDescent="0.25">
      <c r="AQ552" s="139" t="s">
        <v>60</v>
      </c>
      <c r="AR552" s="35">
        <v>0</v>
      </c>
    </row>
    <row r="553" spans="43:44" x14ac:dyDescent="0.25">
      <c r="AQ553" s="16">
        <v>139</v>
      </c>
      <c r="AR553" s="35">
        <v>0</v>
      </c>
    </row>
    <row r="554" spans="43:44" x14ac:dyDescent="0.25">
      <c r="AQ554" s="136" t="s">
        <v>54</v>
      </c>
      <c r="AR554" s="35">
        <v>0</v>
      </c>
    </row>
    <row r="555" spans="43:44" x14ac:dyDescent="0.25">
      <c r="AQ555" s="138" t="s">
        <v>54</v>
      </c>
      <c r="AR555" s="35">
        <v>0</v>
      </c>
    </row>
    <row r="556" spans="43:44" x14ac:dyDescent="0.25">
      <c r="AQ556" s="139" t="s">
        <v>60</v>
      </c>
      <c r="AR556" s="35">
        <v>0</v>
      </c>
    </row>
    <row r="557" spans="43:44" x14ac:dyDescent="0.25">
      <c r="AQ557" s="16">
        <v>140</v>
      </c>
      <c r="AR557" s="35">
        <v>0</v>
      </c>
    </row>
    <row r="558" spans="43:44" x14ac:dyDescent="0.25">
      <c r="AQ558" s="136" t="s">
        <v>54</v>
      </c>
      <c r="AR558" s="35">
        <v>0</v>
      </c>
    </row>
    <row r="559" spans="43:44" x14ac:dyDescent="0.25">
      <c r="AQ559" s="138" t="s">
        <v>54</v>
      </c>
      <c r="AR559" s="35">
        <v>0</v>
      </c>
    </row>
    <row r="560" spans="43:44" x14ac:dyDescent="0.25">
      <c r="AQ560" s="139" t="s">
        <v>60</v>
      </c>
      <c r="AR560" s="35">
        <v>0</v>
      </c>
    </row>
    <row r="561" spans="43:44" x14ac:dyDescent="0.25">
      <c r="AQ561" s="16">
        <v>141</v>
      </c>
      <c r="AR561" s="35">
        <v>0</v>
      </c>
    </row>
    <row r="562" spans="43:44" x14ac:dyDescent="0.25">
      <c r="AQ562" s="136" t="s">
        <v>54</v>
      </c>
      <c r="AR562" s="35">
        <v>0</v>
      </c>
    </row>
    <row r="563" spans="43:44" x14ac:dyDescent="0.25">
      <c r="AQ563" s="138" t="s">
        <v>54</v>
      </c>
      <c r="AR563" s="35">
        <v>0</v>
      </c>
    </row>
    <row r="564" spans="43:44" x14ac:dyDescent="0.25">
      <c r="AQ564" s="139" t="s">
        <v>60</v>
      </c>
      <c r="AR564" s="35">
        <v>0</v>
      </c>
    </row>
    <row r="565" spans="43:44" x14ac:dyDescent="0.25">
      <c r="AQ565" s="16">
        <v>142</v>
      </c>
      <c r="AR565" s="35">
        <v>0</v>
      </c>
    </row>
    <row r="566" spans="43:44" x14ac:dyDescent="0.25">
      <c r="AQ566" s="136" t="s">
        <v>54</v>
      </c>
      <c r="AR566" s="35">
        <v>0</v>
      </c>
    </row>
    <row r="567" spans="43:44" x14ac:dyDescent="0.25">
      <c r="AQ567" s="138" t="s">
        <v>54</v>
      </c>
      <c r="AR567" s="35">
        <v>0</v>
      </c>
    </row>
    <row r="568" spans="43:44" x14ac:dyDescent="0.25">
      <c r="AQ568" s="139" t="s">
        <v>60</v>
      </c>
      <c r="AR568" s="35">
        <v>0</v>
      </c>
    </row>
    <row r="569" spans="43:44" x14ac:dyDescent="0.25">
      <c r="AQ569" s="16">
        <v>143</v>
      </c>
      <c r="AR569" s="35">
        <v>0</v>
      </c>
    </row>
    <row r="570" spans="43:44" x14ac:dyDescent="0.25">
      <c r="AQ570" s="136" t="s">
        <v>54</v>
      </c>
      <c r="AR570" s="35">
        <v>0</v>
      </c>
    </row>
    <row r="571" spans="43:44" x14ac:dyDescent="0.25">
      <c r="AQ571" s="138" t="s">
        <v>54</v>
      </c>
      <c r="AR571" s="35">
        <v>0</v>
      </c>
    </row>
    <row r="572" spans="43:44" x14ac:dyDescent="0.25">
      <c r="AQ572" s="139" t="s">
        <v>60</v>
      </c>
      <c r="AR572" s="35">
        <v>0</v>
      </c>
    </row>
    <row r="573" spans="43:44" x14ac:dyDescent="0.25">
      <c r="AQ573" s="16">
        <v>144</v>
      </c>
      <c r="AR573" s="35">
        <v>0</v>
      </c>
    </row>
    <row r="574" spans="43:44" x14ac:dyDescent="0.25">
      <c r="AQ574" s="136" t="s">
        <v>54</v>
      </c>
      <c r="AR574" s="35">
        <v>0</v>
      </c>
    </row>
    <row r="575" spans="43:44" x14ac:dyDescent="0.25">
      <c r="AQ575" s="138" t="s">
        <v>54</v>
      </c>
      <c r="AR575" s="35">
        <v>0</v>
      </c>
    </row>
    <row r="576" spans="43:44" x14ac:dyDescent="0.25">
      <c r="AQ576" s="139" t="s">
        <v>60</v>
      </c>
      <c r="AR576" s="35">
        <v>0</v>
      </c>
    </row>
    <row r="577" spans="43:44" x14ac:dyDescent="0.25">
      <c r="AQ577" s="16">
        <v>145</v>
      </c>
      <c r="AR577" s="35">
        <v>0</v>
      </c>
    </row>
    <row r="578" spans="43:44" x14ac:dyDescent="0.25">
      <c r="AQ578" s="136" t="s">
        <v>54</v>
      </c>
      <c r="AR578" s="35">
        <v>0</v>
      </c>
    </row>
    <row r="579" spans="43:44" x14ac:dyDescent="0.25">
      <c r="AQ579" s="138" t="s">
        <v>54</v>
      </c>
      <c r="AR579" s="35">
        <v>0</v>
      </c>
    </row>
    <row r="580" spans="43:44" x14ac:dyDescent="0.25">
      <c r="AQ580" s="139" t="s">
        <v>60</v>
      </c>
      <c r="AR580" s="35">
        <v>0</v>
      </c>
    </row>
    <row r="581" spans="43:44" x14ac:dyDescent="0.25">
      <c r="AQ581" s="16">
        <v>146</v>
      </c>
      <c r="AR581" s="35">
        <v>0</v>
      </c>
    </row>
    <row r="582" spans="43:44" x14ac:dyDescent="0.25">
      <c r="AQ582" s="136" t="s">
        <v>54</v>
      </c>
      <c r="AR582" s="35">
        <v>0</v>
      </c>
    </row>
    <row r="583" spans="43:44" x14ac:dyDescent="0.25">
      <c r="AQ583" s="138" t="s">
        <v>54</v>
      </c>
      <c r="AR583" s="35">
        <v>0</v>
      </c>
    </row>
    <row r="584" spans="43:44" x14ac:dyDescent="0.25">
      <c r="AQ584" s="139" t="s">
        <v>60</v>
      </c>
      <c r="AR584" s="35">
        <v>0</v>
      </c>
    </row>
    <row r="585" spans="43:44" x14ac:dyDescent="0.25">
      <c r="AQ585" s="16">
        <v>147</v>
      </c>
      <c r="AR585" s="35">
        <v>0</v>
      </c>
    </row>
    <row r="586" spans="43:44" x14ac:dyDescent="0.25">
      <c r="AQ586" s="136" t="s">
        <v>54</v>
      </c>
      <c r="AR586" s="35">
        <v>0</v>
      </c>
    </row>
    <row r="587" spans="43:44" x14ac:dyDescent="0.25">
      <c r="AQ587" s="138" t="s">
        <v>54</v>
      </c>
      <c r="AR587" s="35">
        <v>0</v>
      </c>
    </row>
    <row r="588" spans="43:44" x14ac:dyDescent="0.25">
      <c r="AQ588" s="139" t="s">
        <v>60</v>
      </c>
      <c r="AR588" s="35">
        <v>0</v>
      </c>
    </row>
    <row r="589" spans="43:44" x14ac:dyDescent="0.25">
      <c r="AQ589" s="16">
        <v>148</v>
      </c>
      <c r="AR589" s="35">
        <v>0</v>
      </c>
    </row>
    <row r="590" spans="43:44" x14ac:dyDescent="0.25">
      <c r="AQ590" s="136" t="s">
        <v>54</v>
      </c>
      <c r="AR590" s="35">
        <v>0</v>
      </c>
    </row>
    <row r="591" spans="43:44" x14ac:dyDescent="0.25">
      <c r="AQ591" s="138" t="s">
        <v>54</v>
      </c>
      <c r="AR591" s="35">
        <v>0</v>
      </c>
    </row>
    <row r="592" spans="43:44" x14ac:dyDescent="0.25">
      <c r="AQ592" s="139" t="s">
        <v>60</v>
      </c>
      <c r="AR592" s="35">
        <v>0</v>
      </c>
    </row>
    <row r="593" spans="43:44" x14ac:dyDescent="0.25">
      <c r="AQ593" s="16">
        <v>149</v>
      </c>
      <c r="AR593" s="35">
        <v>0</v>
      </c>
    </row>
    <row r="594" spans="43:44" x14ac:dyDescent="0.25">
      <c r="AQ594" s="136" t="s">
        <v>54</v>
      </c>
      <c r="AR594" s="35">
        <v>0</v>
      </c>
    </row>
    <row r="595" spans="43:44" x14ac:dyDescent="0.25">
      <c r="AQ595" s="138" t="s">
        <v>54</v>
      </c>
      <c r="AR595" s="35">
        <v>0</v>
      </c>
    </row>
    <row r="596" spans="43:44" x14ac:dyDescent="0.25">
      <c r="AQ596" s="139" t="s">
        <v>60</v>
      </c>
      <c r="AR596" s="35">
        <v>0</v>
      </c>
    </row>
    <row r="597" spans="43:44" x14ac:dyDescent="0.25">
      <c r="AQ597" s="16">
        <v>150</v>
      </c>
      <c r="AR597" s="35">
        <v>0</v>
      </c>
    </row>
    <row r="598" spans="43:44" x14ac:dyDescent="0.25">
      <c r="AQ598" s="136" t="s">
        <v>54</v>
      </c>
      <c r="AR598" s="35">
        <v>0</v>
      </c>
    </row>
    <row r="599" spans="43:44" x14ac:dyDescent="0.25">
      <c r="AQ599" s="138" t="s">
        <v>54</v>
      </c>
      <c r="AR599" s="35">
        <v>0</v>
      </c>
    </row>
    <row r="600" spans="43:44" x14ac:dyDescent="0.25">
      <c r="AQ600" s="139" t="s">
        <v>60</v>
      </c>
      <c r="AR600" s="35">
        <v>0</v>
      </c>
    </row>
    <row r="601" spans="43:44" x14ac:dyDescent="0.25">
      <c r="AQ601" s="16">
        <v>151</v>
      </c>
      <c r="AR601" s="35">
        <v>0</v>
      </c>
    </row>
    <row r="602" spans="43:44" x14ac:dyDescent="0.25">
      <c r="AQ602" s="136" t="s">
        <v>54</v>
      </c>
      <c r="AR602" s="35">
        <v>0</v>
      </c>
    </row>
    <row r="603" spans="43:44" x14ac:dyDescent="0.25">
      <c r="AQ603" s="138" t="s">
        <v>54</v>
      </c>
      <c r="AR603" s="35">
        <v>0</v>
      </c>
    </row>
    <row r="604" spans="43:44" x14ac:dyDescent="0.25">
      <c r="AQ604" s="139" t="s">
        <v>60</v>
      </c>
      <c r="AR604" s="35">
        <v>0</v>
      </c>
    </row>
    <row r="605" spans="43:44" x14ac:dyDescent="0.25">
      <c r="AQ605" s="16">
        <v>152</v>
      </c>
      <c r="AR605" s="35">
        <v>0</v>
      </c>
    </row>
    <row r="606" spans="43:44" x14ac:dyDescent="0.25">
      <c r="AQ606" s="136" t="s">
        <v>54</v>
      </c>
      <c r="AR606" s="35">
        <v>0</v>
      </c>
    </row>
    <row r="607" spans="43:44" x14ac:dyDescent="0.25">
      <c r="AQ607" s="138" t="s">
        <v>54</v>
      </c>
      <c r="AR607" s="35">
        <v>0</v>
      </c>
    </row>
    <row r="608" spans="43:44" x14ac:dyDescent="0.25">
      <c r="AQ608" s="139" t="s">
        <v>60</v>
      </c>
      <c r="AR608" s="35">
        <v>0</v>
      </c>
    </row>
    <row r="609" spans="43:44" x14ac:dyDescent="0.25">
      <c r="AQ609" s="16">
        <v>153</v>
      </c>
      <c r="AR609" s="35">
        <v>0</v>
      </c>
    </row>
    <row r="610" spans="43:44" x14ac:dyDescent="0.25">
      <c r="AQ610" s="136" t="s">
        <v>54</v>
      </c>
      <c r="AR610" s="35">
        <v>0</v>
      </c>
    </row>
    <row r="611" spans="43:44" x14ac:dyDescent="0.25">
      <c r="AQ611" s="138" t="s">
        <v>54</v>
      </c>
      <c r="AR611" s="35">
        <v>0</v>
      </c>
    </row>
    <row r="612" spans="43:44" x14ac:dyDescent="0.25">
      <c r="AQ612" s="139" t="s">
        <v>60</v>
      </c>
      <c r="AR612" s="35">
        <v>0</v>
      </c>
    </row>
    <row r="613" spans="43:44" x14ac:dyDescent="0.25">
      <c r="AQ613" s="16">
        <v>154</v>
      </c>
      <c r="AR613" s="35">
        <v>0</v>
      </c>
    </row>
    <row r="614" spans="43:44" x14ac:dyDescent="0.25">
      <c r="AQ614" s="136" t="s">
        <v>54</v>
      </c>
      <c r="AR614" s="35">
        <v>0</v>
      </c>
    </row>
    <row r="615" spans="43:44" x14ac:dyDescent="0.25">
      <c r="AQ615" s="138" t="s">
        <v>54</v>
      </c>
      <c r="AR615" s="35">
        <v>0</v>
      </c>
    </row>
    <row r="616" spans="43:44" x14ac:dyDescent="0.25">
      <c r="AQ616" s="139" t="s">
        <v>60</v>
      </c>
      <c r="AR616" s="35">
        <v>0</v>
      </c>
    </row>
    <row r="617" spans="43:44" x14ac:dyDescent="0.25">
      <c r="AQ617" s="16">
        <v>155</v>
      </c>
      <c r="AR617" s="35">
        <v>0</v>
      </c>
    </row>
    <row r="618" spans="43:44" x14ac:dyDescent="0.25">
      <c r="AQ618" s="136" t="s">
        <v>54</v>
      </c>
      <c r="AR618" s="35">
        <v>0</v>
      </c>
    </row>
    <row r="619" spans="43:44" x14ac:dyDescent="0.25">
      <c r="AQ619" s="138" t="s">
        <v>54</v>
      </c>
      <c r="AR619" s="35">
        <v>0</v>
      </c>
    </row>
    <row r="620" spans="43:44" x14ac:dyDescent="0.25">
      <c r="AQ620" s="139" t="s">
        <v>60</v>
      </c>
      <c r="AR620" s="35">
        <v>0</v>
      </c>
    </row>
    <row r="621" spans="43:44" x14ac:dyDescent="0.25">
      <c r="AQ621" s="16">
        <v>156</v>
      </c>
      <c r="AR621" s="35">
        <v>0</v>
      </c>
    </row>
    <row r="622" spans="43:44" x14ac:dyDescent="0.25">
      <c r="AQ622" s="136" t="s">
        <v>54</v>
      </c>
      <c r="AR622" s="35">
        <v>0</v>
      </c>
    </row>
    <row r="623" spans="43:44" x14ac:dyDescent="0.25">
      <c r="AQ623" s="138" t="s">
        <v>54</v>
      </c>
      <c r="AR623" s="35">
        <v>0</v>
      </c>
    </row>
    <row r="624" spans="43:44" x14ac:dyDescent="0.25">
      <c r="AQ624" s="139" t="s">
        <v>60</v>
      </c>
      <c r="AR624" s="35">
        <v>0</v>
      </c>
    </row>
    <row r="625" spans="43:44" x14ac:dyDescent="0.25">
      <c r="AQ625" s="16">
        <v>157</v>
      </c>
      <c r="AR625" s="35">
        <v>0</v>
      </c>
    </row>
    <row r="626" spans="43:44" x14ac:dyDescent="0.25">
      <c r="AQ626" s="136" t="s">
        <v>54</v>
      </c>
      <c r="AR626" s="35">
        <v>0</v>
      </c>
    </row>
    <row r="627" spans="43:44" x14ac:dyDescent="0.25">
      <c r="AQ627" s="138" t="s">
        <v>54</v>
      </c>
      <c r="AR627" s="35">
        <v>0</v>
      </c>
    </row>
    <row r="628" spans="43:44" x14ac:dyDescent="0.25">
      <c r="AQ628" s="139" t="s">
        <v>60</v>
      </c>
      <c r="AR628" s="35">
        <v>0</v>
      </c>
    </row>
    <row r="629" spans="43:44" x14ac:dyDescent="0.25">
      <c r="AQ629" s="16">
        <v>158</v>
      </c>
      <c r="AR629" s="35">
        <v>0</v>
      </c>
    </row>
    <row r="630" spans="43:44" x14ac:dyDescent="0.25">
      <c r="AQ630" s="136" t="s">
        <v>54</v>
      </c>
      <c r="AR630" s="35">
        <v>0</v>
      </c>
    </row>
    <row r="631" spans="43:44" x14ac:dyDescent="0.25">
      <c r="AQ631" s="138" t="s">
        <v>54</v>
      </c>
      <c r="AR631" s="35">
        <v>0</v>
      </c>
    </row>
    <row r="632" spans="43:44" x14ac:dyDescent="0.25">
      <c r="AQ632" s="139" t="s">
        <v>60</v>
      </c>
      <c r="AR632" s="35">
        <v>0</v>
      </c>
    </row>
    <row r="633" spans="43:44" x14ac:dyDescent="0.25">
      <c r="AQ633" s="16">
        <v>159</v>
      </c>
      <c r="AR633" s="35">
        <v>0</v>
      </c>
    </row>
    <row r="634" spans="43:44" x14ac:dyDescent="0.25">
      <c r="AQ634" s="136" t="s">
        <v>54</v>
      </c>
      <c r="AR634" s="35">
        <v>0</v>
      </c>
    </row>
    <row r="635" spans="43:44" x14ac:dyDescent="0.25">
      <c r="AQ635" s="138" t="s">
        <v>54</v>
      </c>
      <c r="AR635" s="35">
        <v>0</v>
      </c>
    </row>
    <row r="636" spans="43:44" x14ac:dyDescent="0.25">
      <c r="AQ636" s="139" t="s">
        <v>60</v>
      </c>
      <c r="AR636" s="35">
        <v>0</v>
      </c>
    </row>
    <row r="637" spans="43:44" x14ac:dyDescent="0.25">
      <c r="AQ637" s="16">
        <v>160</v>
      </c>
      <c r="AR637" s="35">
        <v>0</v>
      </c>
    </row>
    <row r="638" spans="43:44" x14ac:dyDescent="0.25">
      <c r="AQ638" s="136" t="s">
        <v>54</v>
      </c>
      <c r="AR638" s="35">
        <v>0</v>
      </c>
    </row>
    <row r="639" spans="43:44" x14ac:dyDescent="0.25">
      <c r="AQ639" s="138" t="s">
        <v>54</v>
      </c>
      <c r="AR639" s="35">
        <v>0</v>
      </c>
    </row>
    <row r="640" spans="43:44" x14ac:dyDescent="0.25">
      <c r="AQ640" s="139" t="s">
        <v>60</v>
      </c>
      <c r="AR640" s="35">
        <v>0</v>
      </c>
    </row>
    <row r="641" spans="43:44" x14ac:dyDescent="0.25">
      <c r="AQ641" s="16">
        <v>161</v>
      </c>
      <c r="AR641" s="35">
        <v>0</v>
      </c>
    </row>
    <row r="642" spans="43:44" x14ac:dyDescent="0.25">
      <c r="AQ642" s="136" t="s">
        <v>54</v>
      </c>
      <c r="AR642" s="35">
        <v>0</v>
      </c>
    </row>
    <row r="643" spans="43:44" x14ac:dyDescent="0.25">
      <c r="AQ643" s="138" t="s">
        <v>54</v>
      </c>
      <c r="AR643" s="35">
        <v>0</v>
      </c>
    </row>
    <row r="644" spans="43:44" x14ac:dyDescent="0.25">
      <c r="AQ644" s="139" t="s">
        <v>60</v>
      </c>
      <c r="AR644" s="35">
        <v>0</v>
      </c>
    </row>
    <row r="645" spans="43:44" x14ac:dyDescent="0.25">
      <c r="AQ645" s="16">
        <v>162</v>
      </c>
      <c r="AR645" s="35">
        <v>0</v>
      </c>
    </row>
    <row r="646" spans="43:44" x14ac:dyDescent="0.25">
      <c r="AQ646" s="136" t="s">
        <v>54</v>
      </c>
      <c r="AR646" s="35">
        <v>0</v>
      </c>
    </row>
    <row r="647" spans="43:44" x14ac:dyDescent="0.25">
      <c r="AQ647" s="138" t="s">
        <v>54</v>
      </c>
      <c r="AR647" s="35">
        <v>0</v>
      </c>
    </row>
    <row r="648" spans="43:44" x14ac:dyDescent="0.25">
      <c r="AQ648" s="139" t="s">
        <v>60</v>
      </c>
      <c r="AR648" s="35">
        <v>0</v>
      </c>
    </row>
    <row r="649" spans="43:44" x14ac:dyDescent="0.25">
      <c r="AQ649" s="16">
        <v>163</v>
      </c>
      <c r="AR649" s="35">
        <v>0</v>
      </c>
    </row>
    <row r="650" spans="43:44" x14ac:dyDescent="0.25">
      <c r="AQ650" s="136" t="s">
        <v>54</v>
      </c>
      <c r="AR650" s="35">
        <v>0</v>
      </c>
    </row>
    <row r="651" spans="43:44" x14ac:dyDescent="0.25">
      <c r="AQ651" s="138" t="s">
        <v>54</v>
      </c>
      <c r="AR651" s="35">
        <v>0</v>
      </c>
    </row>
    <row r="652" spans="43:44" x14ac:dyDescent="0.25">
      <c r="AQ652" s="139" t="s">
        <v>60</v>
      </c>
      <c r="AR652" s="35">
        <v>0</v>
      </c>
    </row>
    <row r="653" spans="43:44" x14ac:dyDescent="0.25">
      <c r="AQ653" s="16">
        <v>164</v>
      </c>
      <c r="AR653" s="35">
        <v>0</v>
      </c>
    </row>
    <row r="654" spans="43:44" x14ac:dyDescent="0.25">
      <c r="AQ654" s="136" t="s">
        <v>54</v>
      </c>
      <c r="AR654" s="35">
        <v>0</v>
      </c>
    </row>
    <row r="655" spans="43:44" x14ac:dyDescent="0.25">
      <c r="AQ655" s="138" t="s">
        <v>54</v>
      </c>
      <c r="AR655" s="35">
        <v>0</v>
      </c>
    </row>
    <row r="656" spans="43:44" x14ac:dyDescent="0.25">
      <c r="AQ656" s="139" t="s">
        <v>60</v>
      </c>
      <c r="AR656" s="35">
        <v>0</v>
      </c>
    </row>
    <row r="657" spans="43:44" x14ac:dyDescent="0.25">
      <c r="AQ657" s="16">
        <v>165</v>
      </c>
      <c r="AR657" s="35">
        <v>0</v>
      </c>
    </row>
    <row r="658" spans="43:44" x14ac:dyDescent="0.25">
      <c r="AQ658" s="136" t="s">
        <v>54</v>
      </c>
      <c r="AR658" s="35">
        <v>0</v>
      </c>
    </row>
    <row r="659" spans="43:44" x14ac:dyDescent="0.25">
      <c r="AQ659" s="138" t="s">
        <v>54</v>
      </c>
      <c r="AR659" s="35">
        <v>0</v>
      </c>
    </row>
    <row r="660" spans="43:44" x14ac:dyDescent="0.25">
      <c r="AQ660" s="139" t="s">
        <v>60</v>
      </c>
      <c r="AR660" s="35">
        <v>0</v>
      </c>
    </row>
    <row r="661" spans="43:44" x14ac:dyDescent="0.25">
      <c r="AQ661" s="16">
        <v>166</v>
      </c>
      <c r="AR661" s="35">
        <v>0</v>
      </c>
    </row>
    <row r="662" spans="43:44" x14ac:dyDescent="0.25">
      <c r="AQ662" s="136" t="s">
        <v>54</v>
      </c>
      <c r="AR662" s="35">
        <v>0</v>
      </c>
    </row>
    <row r="663" spans="43:44" x14ac:dyDescent="0.25">
      <c r="AQ663" s="138" t="s">
        <v>54</v>
      </c>
      <c r="AR663" s="35">
        <v>0</v>
      </c>
    </row>
    <row r="664" spans="43:44" x14ac:dyDescent="0.25">
      <c r="AQ664" s="139" t="s">
        <v>60</v>
      </c>
      <c r="AR664" s="35">
        <v>0</v>
      </c>
    </row>
    <row r="665" spans="43:44" x14ac:dyDescent="0.25">
      <c r="AQ665" s="16">
        <v>167</v>
      </c>
      <c r="AR665" s="35">
        <v>0</v>
      </c>
    </row>
    <row r="666" spans="43:44" x14ac:dyDescent="0.25">
      <c r="AQ666" s="136" t="s">
        <v>54</v>
      </c>
      <c r="AR666" s="35">
        <v>0</v>
      </c>
    </row>
    <row r="667" spans="43:44" x14ac:dyDescent="0.25">
      <c r="AQ667" s="138" t="s">
        <v>54</v>
      </c>
      <c r="AR667" s="35">
        <v>0</v>
      </c>
    </row>
    <row r="668" spans="43:44" x14ac:dyDescent="0.25">
      <c r="AQ668" s="139" t="s">
        <v>60</v>
      </c>
      <c r="AR668" s="35">
        <v>0</v>
      </c>
    </row>
    <row r="669" spans="43:44" x14ac:dyDescent="0.25">
      <c r="AQ669" s="16">
        <v>168</v>
      </c>
      <c r="AR669" s="35">
        <v>0</v>
      </c>
    </row>
    <row r="670" spans="43:44" x14ac:dyDescent="0.25">
      <c r="AQ670" s="136" t="s">
        <v>54</v>
      </c>
      <c r="AR670" s="35">
        <v>0</v>
      </c>
    </row>
    <row r="671" spans="43:44" x14ac:dyDescent="0.25">
      <c r="AQ671" s="138" t="s">
        <v>54</v>
      </c>
      <c r="AR671" s="35">
        <v>0</v>
      </c>
    </row>
    <row r="672" spans="43:44" x14ac:dyDescent="0.25">
      <c r="AQ672" s="139" t="s">
        <v>60</v>
      </c>
      <c r="AR672" s="35">
        <v>0</v>
      </c>
    </row>
    <row r="673" spans="43:44" x14ac:dyDescent="0.25">
      <c r="AQ673" s="16">
        <v>169</v>
      </c>
      <c r="AR673" s="35">
        <v>0</v>
      </c>
    </row>
    <row r="674" spans="43:44" x14ac:dyDescent="0.25">
      <c r="AQ674" s="136" t="s">
        <v>54</v>
      </c>
      <c r="AR674" s="35">
        <v>0</v>
      </c>
    </row>
    <row r="675" spans="43:44" x14ac:dyDescent="0.25">
      <c r="AQ675" s="138" t="s">
        <v>54</v>
      </c>
      <c r="AR675" s="35">
        <v>0</v>
      </c>
    </row>
    <row r="676" spans="43:44" x14ac:dyDescent="0.25">
      <c r="AQ676" s="139" t="s">
        <v>60</v>
      </c>
      <c r="AR676" s="35">
        <v>0</v>
      </c>
    </row>
    <row r="677" spans="43:44" x14ac:dyDescent="0.25">
      <c r="AQ677" s="16">
        <v>170</v>
      </c>
      <c r="AR677" s="35">
        <v>0</v>
      </c>
    </row>
    <row r="678" spans="43:44" x14ac:dyDescent="0.25">
      <c r="AQ678" s="136" t="s">
        <v>54</v>
      </c>
      <c r="AR678" s="35">
        <v>0</v>
      </c>
    </row>
    <row r="679" spans="43:44" x14ac:dyDescent="0.25">
      <c r="AQ679" s="138" t="s">
        <v>54</v>
      </c>
      <c r="AR679" s="35">
        <v>0</v>
      </c>
    </row>
    <row r="680" spans="43:44" x14ac:dyDescent="0.25">
      <c r="AQ680" s="139" t="s">
        <v>60</v>
      </c>
      <c r="AR680" s="35">
        <v>0</v>
      </c>
    </row>
    <row r="681" spans="43:44" x14ac:dyDescent="0.25">
      <c r="AQ681" s="16">
        <v>171</v>
      </c>
      <c r="AR681" s="35">
        <v>0</v>
      </c>
    </row>
    <row r="682" spans="43:44" x14ac:dyDescent="0.25">
      <c r="AQ682" s="136" t="s">
        <v>54</v>
      </c>
      <c r="AR682" s="35">
        <v>0</v>
      </c>
    </row>
    <row r="683" spans="43:44" x14ac:dyDescent="0.25">
      <c r="AQ683" s="138" t="s">
        <v>54</v>
      </c>
      <c r="AR683" s="35">
        <v>0</v>
      </c>
    </row>
    <row r="684" spans="43:44" x14ac:dyDescent="0.25">
      <c r="AQ684" s="139" t="s">
        <v>60</v>
      </c>
      <c r="AR684" s="35">
        <v>0</v>
      </c>
    </row>
    <row r="685" spans="43:44" x14ac:dyDescent="0.25">
      <c r="AQ685" s="16">
        <v>172</v>
      </c>
      <c r="AR685" s="35">
        <v>0</v>
      </c>
    </row>
    <row r="686" spans="43:44" x14ac:dyDescent="0.25">
      <c r="AQ686" s="136" t="s">
        <v>54</v>
      </c>
      <c r="AR686" s="35">
        <v>0</v>
      </c>
    </row>
    <row r="687" spans="43:44" x14ac:dyDescent="0.25">
      <c r="AQ687" s="138" t="s">
        <v>54</v>
      </c>
      <c r="AR687" s="35">
        <v>0</v>
      </c>
    </row>
    <row r="688" spans="43:44" x14ac:dyDescent="0.25">
      <c r="AQ688" s="139" t="s">
        <v>60</v>
      </c>
      <c r="AR688" s="35">
        <v>0</v>
      </c>
    </row>
    <row r="689" spans="43:44" x14ac:dyDescent="0.25">
      <c r="AQ689" s="16">
        <v>173</v>
      </c>
      <c r="AR689" s="35">
        <v>0</v>
      </c>
    </row>
    <row r="690" spans="43:44" x14ac:dyDescent="0.25">
      <c r="AQ690" s="136" t="s">
        <v>54</v>
      </c>
      <c r="AR690" s="35">
        <v>0</v>
      </c>
    </row>
    <row r="691" spans="43:44" x14ac:dyDescent="0.25">
      <c r="AQ691" s="138" t="s">
        <v>54</v>
      </c>
      <c r="AR691" s="35">
        <v>0</v>
      </c>
    </row>
    <row r="692" spans="43:44" x14ac:dyDescent="0.25">
      <c r="AQ692" s="139" t="s">
        <v>60</v>
      </c>
      <c r="AR692" s="35">
        <v>0</v>
      </c>
    </row>
    <row r="693" spans="43:44" x14ac:dyDescent="0.25">
      <c r="AQ693" s="16">
        <v>174</v>
      </c>
      <c r="AR693" s="35">
        <v>0</v>
      </c>
    </row>
    <row r="694" spans="43:44" x14ac:dyDescent="0.25">
      <c r="AQ694" s="136" t="s">
        <v>54</v>
      </c>
      <c r="AR694" s="35">
        <v>0</v>
      </c>
    </row>
    <row r="695" spans="43:44" x14ac:dyDescent="0.25">
      <c r="AQ695" s="138" t="s">
        <v>54</v>
      </c>
      <c r="AR695" s="35">
        <v>0</v>
      </c>
    </row>
    <row r="696" spans="43:44" x14ac:dyDescent="0.25">
      <c r="AQ696" s="139" t="s">
        <v>60</v>
      </c>
      <c r="AR696" s="35">
        <v>0</v>
      </c>
    </row>
    <row r="697" spans="43:44" x14ac:dyDescent="0.25">
      <c r="AQ697" s="16">
        <v>175</v>
      </c>
      <c r="AR697" s="35">
        <v>0</v>
      </c>
    </row>
    <row r="698" spans="43:44" x14ac:dyDescent="0.25">
      <c r="AQ698" s="136" t="s">
        <v>54</v>
      </c>
      <c r="AR698" s="35">
        <v>0</v>
      </c>
    </row>
    <row r="699" spans="43:44" x14ac:dyDescent="0.25">
      <c r="AQ699" s="138" t="s">
        <v>54</v>
      </c>
      <c r="AR699" s="35">
        <v>0</v>
      </c>
    </row>
    <row r="700" spans="43:44" x14ac:dyDescent="0.25">
      <c r="AQ700" s="139" t="s">
        <v>60</v>
      </c>
      <c r="AR700" s="35">
        <v>0</v>
      </c>
    </row>
    <row r="701" spans="43:44" x14ac:dyDescent="0.25">
      <c r="AQ701" s="16">
        <v>176</v>
      </c>
      <c r="AR701" s="35">
        <v>0</v>
      </c>
    </row>
    <row r="702" spans="43:44" x14ac:dyDescent="0.25">
      <c r="AQ702" s="136" t="s">
        <v>54</v>
      </c>
      <c r="AR702" s="35">
        <v>0</v>
      </c>
    </row>
    <row r="703" spans="43:44" x14ac:dyDescent="0.25">
      <c r="AQ703" s="138" t="s">
        <v>54</v>
      </c>
      <c r="AR703" s="35">
        <v>0</v>
      </c>
    </row>
    <row r="704" spans="43:44" x14ac:dyDescent="0.25">
      <c r="AQ704" s="139" t="s">
        <v>60</v>
      </c>
      <c r="AR704" s="35">
        <v>0</v>
      </c>
    </row>
    <row r="705" spans="43:44" x14ac:dyDescent="0.25">
      <c r="AQ705" s="16">
        <v>177</v>
      </c>
      <c r="AR705" s="35">
        <v>0</v>
      </c>
    </row>
    <row r="706" spans="43:44" x14ac:dyDescent="0.25">
      <c r="AQ706" s="136" t="s">
        <v>54</v>
      </c>
      <c r="AR706" s="35">
        <v>0</v>
      </c>
    </row>
    <row r="707" spans="43:44" x14ac:dyDescent="0.25">
      <c r="AQ707" s="138" t="s">
        <v>54</v>
      </c>
      <c r="AR707" s="35">
        <v>0</v>
      </c>
    </row>
    <row r="708" spans="43:44" x14ac:dyDescent="0.25">
      <c r="AQ708" s="139" t="s">
        <v>60</v>
      </c>
      <c r="AR708" s="35">
        <v>0</v>
      </c>
    </row>
    <row r="709" spans="43:44" x14ac:dyDescent="0.25">
      <c r="AQ709" s="16">
        <v>178</v>
      </c>
      <c r="AR709" s="35">
        <v>0</v>
      </c>
    </row>
    <row r="710" spans="43:44" x14ac:dyDescent="0.25">
      <c r="AQ710" s="136" t="s">
        <v>54</v>
      </c>
      <c r="AR710" s="35">
        <v>0</v>
      </c>
    </row>
    <row r="711" spans="43:44" x14ac:dyDescent="0.25">
      <c r="AQ711" s="138" t="s">
        <v>54</v>
      </c>
      <c r="AR711" s="35">
        <v>0</v>
      </c>
    </row>
    <row r="712" spans="43:44" x14ac:dyDescent="0.25">
      <c r="AQ712" s="139" t="s">
        <v>60</v>
      </c>
      <c r="AR712" s="35">
        <v>0</v>
      </c>
    </row>
    <row r="713" spans="43:44" x14ac:dyDescent="0.25">
      <c r="AQ713" s="16">
        <v>179</v>
      </c>
      <c r="AR713" s="35">
        <v>0</v>
      </c>
    </row>
    <row r="714" spans="43:44" x14ac:dyDescent="0.25">
      <c r="AQ714" s="136" t="s">
        <v>54</v>
      </c>
      <c r="AR714" s="35">
        <v>0</v>
      </c>
    </row>
    <row r="715" spans="43:44" x14ac:dyDescent="0.25">
      <c r="AQ715" s="138" t="s">
        <v>54</v>
      </c>
      <c r="AR715" s="35">
        <v>0</v>
      </c>
    </row>
    <row r="716" spans="43:44" x14ac:dyDescent="0.25">
      <c r="AQ716" s="139" t="s">
        <v>60</v>
      </c>
      <c r="AR716" s="35">
        <v>0</v>
      </c>
    </row>
    <row r="717" spans="43:44" x14ac:dyDescent="0.25">
      <c r="AQ717" s="16">
        <v>180</v>
      </c>
      <c r="AR717" s="35">
        <v>0</v>
      </c>
    </row>
    <row r="718" spans="43:44" x14ac:dyDescent="0.25">
      <c r="AQ718" s="136" t="s">
        <v>54</v>
      </c>
      <c r="AR718" s="35">
        <v>0</v>
      </c>
    </row>
    <row r="719" spans="43:44" x14ac:dyDescent="0.25">
      <c r="AQ719" s="138" t="s">
        <v>54</v>
      </c>
      <c r="AR719" s="35">
        <v>0</v>
      </c>
    </row>
    <row r="720" spans="43:44" x14ac:dyDescent="0.25">
      <c r="AQ720" s="139" t="s">
        <v>60</v>
      </c>
      <c r="AR720" s="35">
        <v>0</v>
      </c>
    </row>
    <row r="721" spans="43:44" x14ac:dyDescent="0.25">
      <c r="AQ721" s="16">
        <v>181</v>
      </c>
      <c r="AR721" s="35">
        <v>0</v>
      </c>
    </row>
    <row r="722" spans="43:44" x14ac:dyDescent="0.25">
      <c r="AQ722" s="136" t="s">
        <v>54</v>
      </c>
      <c r="AR722" s="35">
        <v>0</v>
      </c>
    </row>
    <row r="723" spans="43:44" x14ac:dyDescent="0.25">
      <c r="AQ723" s="138" t="s">
        <v>54</v>
      </c>
      <c r="AR723" s="35">
        <v>0</v>
      </c>
    </row>
    <row r="724" spans="43:44" x14ac:dyDescent="0.25">
      <c r="AQ724" s="139" t="s">
        <v>60</v>
      </c>
      <c r="AR724" s="35">
        <v>0</v>
      </c>
    </row>
    <row r="725" spans="43:44" x14ac:dyDescent="0.25">
      <c r="AQ725" s="16">
        <v>182</v>
      </c>
      <c r="AR725" s="35">
        <v>0</v>
      </c>
    </row>
    <row r="726" spans="43:44" x14ac:dyDescent="0.25">
      <c r="AQ726" s="136" t="s">
        <v>54</v>
      </c>
      <c r="AR726" s="35">
        <v>0</v>
      </c>
    </row>
    <row r="727" spans="43:44" x14ac:dyDescent="0.25">
      <c r="AQ727" s="138" t="s">
        <v>54</v>
      </c>
      <c r="AR727" s="35">
        <v>0</v>
      </c>
    </row>
    <row r="728" spans="43:44" x14ac:dyDescent="0.25">
      <c r="AQ728" s="139" t="s">
        <v>60</v>
      </c>
      <c r="AR728" s="35">
        <v>0</v>
      </c>
    </row>
    <row r="729" spans="43:44" x14ac:dyDescent="0.25">
      <c r="AQ729" s="16">
        <v>183</v>
      </c>
      <c r="AR729" s="35">
        <v>0</v>
      </c>
    </row>
    <row r="730" spans="43:44" x14ac:dyDescent="0.25">
      <c r="AQ730" s="136" t="s">
        <v>54</v>
      </c>
      <c r="AR730" s="35">
        <v>0</v>
      </c>
    </row>
    <row r="731" spans="43:44" x14ac:dyDescent="0.25">
      <c r="AQ731" s="138" t="s">
        <v>54</v>
      </c>
      <c r="AR731" s="35">
        <v>0</v>
      </c>
    </row>
    <row r="732" spans="43:44" x14ac:dyDescent="0.25">
      <c r="AQ732" s="139" t="s">
        <v>60</v>
      </c>
      <c r="AR732" s="35">
        <v>0</v>
      </c>
    </row>
    <row r="733" spans="43:44" x14ac:dyDescent="0.25">
      <c r="AQ733" s="16">
        <v>184</v>
      </c>
      <c r="AR733" s="35">
        <v>0</v>
      </c>
    </row>
    <row r="734" spans="43:44" x14ac:dyDescent="0.25">
      <c r="AQ734" s="136" t="s">
        <v>54</v>
      </c>
      <c r="AR734" s="35">
        <v>0</v>
      </c>
    </row>
    <row r="735" spans="43:44" x14ac:dyDescent="0.25">
      <c r="AQ735" s="138" t="s">
        <v>54</v>
      </c>
      <c r="AR735" s="35">
        <v>0</v>
      </c>
    </row>
    <row r="736" spans="43:44" x14ac:dyDescent="0.25">
      <c r="AQ736" s="139" t="s">
        <v>60</v>
      </c>
      <c r="AR736" s="35">
        <v>0</v>
      </c>
    </row>
    <row r="737" spans="43:44" x14ac:dyDescent="0.25">
      <c r="AQ737" s="16">
        <v>185</v>
      </c>
      <c r="AR737" s="35">
        <v>0</v>
      </c>
    </row>
    <row r="738" spans="43:44" x14ac:dyDescent="0.25">
      <c r="AQ738" s="136" t="s">
        <v>54</v>
      </c>
      <c r="AR738" s="35">
        <v>0</v>
      </c>
    </row>
    <row r="739" spans="43:44" x14ac:dyDescent="0.25">
      <c r="AQ739" s="138" t="s">
        <v>54</v>
      </c>
      <c r="AR739" s="35">
        <v>0</v>
      </c>
    </row>
    <row r="740" spans="43:44" x14ac:dyDescent="0.25">
      <c r="AQ740" s="139" t="s">
        <v>60</v>
      </c>
      <c r="AR740" s="35">
        <v>0</v>
      </c>
    </row>
    <row r="741" spans="43:44" x14ac:dyDescent="0.25">
      <c r="AQ741" s="16">
        <v>186</v>
      </c>
      <c r="AR741" s="35">
        <v>0</v>
      </c>
    </row>
    <row r="742" spans="43:44" x14ac:dyDescent="0.25">
      <c r="AQ742" s="136" t="s">
        <v>54</v>
      </c>
      <c r="AR742" s="35">
        <v>0</v>
      </c>
    </row>
    <row r="743" spans="43:44" x14ac:dyDescent="0.25">
      <c r="AQ743" s="138" t="s">
        <v>54</v>
      </c>
      <c r="AR743" s="35">
        <v>0</v>
      </c>
    </row>
    <row r="744" spans="43:44" x14ac:dyDescent="0.25">
      <c r="AQ744" s="139" t="s">
        <v>60</v>
      </c>
      <c r="AR744" s="35">
        <v>0</v>
      </c>
    </row>
    <row r="745" spans="43:44" x14ac:dyDescent="0.25">
      <c r="AQ745" s="16">
        <v>187</v>
      </c>
      <c r="AR745" s="35">
        <v>0</v>
      </c>
    </row>
    <row r="746" spans="43:44" x14ac:dyDescent="0.25">
      <c r="AQ746" s="136" t="s">
        <v>54</v>
      </c>
      <c r="AR746" s="35">
        <v>0</v>
      </c>
    </row>
    <row r="747" spans="43:44" x14ac:dyDescent="0.25">
      <c r="AQ747" s="138" t="s">
        <v>54</v>
      </c>
      <c r="AR747" s="35">
        <v>0</v>
      </c>
    </row>
    <row r="748" spans="43:44" x14ac:dyDescent="0.25">
      <c r="AQ748" s="139" t="s">
        <v>60</v>
      </c>
      <c r="AR748" s="35">
        <v>0</v>
      </c>
    </row>
    <row r="749" spans="43:44" x14ac:dyDescent="0.25">
      <c r="AQ749" s="16">
        <v>188</v>
      </c>
      <c r="AR749" s="35">
        <v>0</v>
      </c>
    </row>
    <row r="750" spans="43:44" x14ac:dyDescent="0.25">
      <c r="AQ750" s="136" t="s">
        <v>54</v>
      </c>
      <c r="AR750" s="35">
        <v>0</v>
      </c>
    </row>
    <row r="751" spans="43:44" x14ac:dyDescent="0.25">
      <c r="AQ751" s="138" t="s">
        <v>54</v>
      </c>
      <c r="AR751" s="35">
        <v>0</v>
      </c>
    </row>
    <row r="752" spans="43:44" x14ac:dyDescent="0.25">
      <c r="AQ752" s="139" t="s">
        <v>60</v>
      </c>
      <c r="AR752" s="35">
        <v>0</v>
      </c>
    </row>
    <row r="753" spans="43:44" x14ac:dyDescent="0.25">
      <c r="AQ753" s="16">
        <v>189</v>
      </c>
      <c r="AR753" s="35">
        <v>0</v>
      </c>
    </row>
    <row r="754" spans="43:44" x14ac:dyDescent="0.25">
      <c r="AQ754" s="136" t="s">
        <v>54</v>
      </c>
      <c r="AR754" s="35">
        <v>0</v>
      </c>
    </row>
    <row r="755" spans="43:44" x14ac:dyDescent="0.25">
      <c r="AQ755" s="138" t="s">
        <v>54</v>
      </c>
      <c r="AR755" s="35">
        <v>0</v>
      </c>
    </row>
    <row r="756" spans="43:44" x14ac:dyDescent="0.25">
      <c r="AQ756" s="139" t="s">
        <v>60</v>
      </c>
      <c r="AR756" s="35">
        <v>0</v>
      </c>
    </row>
    <row r="757" spans="43:44" x14ac:dyDescent="0.25">
      <c r="AQ757" s="16">
        <v>190</v>
      </c>
      <c r="AR757" s="35">
        <v>0</v>
      </c>
    </row>
    <row r="758" spans="43:44" x14ac:dyDescent="0.25">
      <c r="AQ758" s="136" t="s">
        <v>54</v>
      </c>
      <c r="AR758" s="35">
        <v>0</v>
      </c>
    </row>
    <row r="759" spans="43:44" x14ac:dyDescent="0.25">
      <c r="AQ759" s="138" t="s">
        <v>54</v>
      </c>
      <c r="AR759" s="35">
        <v>0</v>
      </c>
    </row>
    <row r="760" spans="43:44" x14ac:dyDescent="0.25">
      <c r="AQ760" s="139" t="s">
        <v>60</v>
      </c>
      <c r="AR760" s="35">
        <v>0</v>
      </c>
    </row>
    <row r="761" spans="43:44" x14ac:dyDescent="0.25">
      <c r="AQ761" s="16">
        <v>191</v>
      </c>
      <c r="AR761" s="35">
        <v>0</v>
      </c>
    </row>
    <row r="762" spans="43:44" x14ac:dyDescent="0.25">
      <c r="AQ762" s="136" t="s">
        <v>54</v>
      </c>
      <c r="AR762" s="35">
        <v>0</v>
      </c>
    </row>
    <row r="763" spans="43:44" x14ac:dyDescent="0.25">
      <c r="AQ763" s="138" t="s">
        <v>54</v>
      </c>
      <c r="AR763" s="35">
        <v>0</v>
      </c>
    </row>
    <row r="764" spans="43:44" x14ac:dyDescent="0.25">
      <c r="AQ764" s="139" t="s">
        <v>60</v>
      </c>
      <c r="AR764" s="35">
        <v>0</v>
      </c>
    </row>
    <row r="765" spans="43:44" x14ac:dyDescent="0.25">
      <c r="AQ765" s="16">
        <v>192</v>
      </c>
      <c r="AR765" s="35">
        <v>0</v>
      </c>
    </row>
    <row r="766" spans="43:44" x14ac:dyDescent="0.25">
      <c r="AQ766" s="136" t="s">
        <v>54</v>
      </c>
      <c r="AR766" s="35">
        <v>0</v>
      </c>
    </row>
    <row r="767" spans="43:44" x14ac:dyDescent="0.25">
      <c r="AQ767" s="138" t="s">
        <v>54</v>
      </c>
      <c r="AR767" s="35">
        <v>0</v>
      </c>
    </row>
    <row r="768" spans="43:44" x14ac:dyDescent="0.25">
      <c r="AQ768" s="139" t="s">
        <v>60</v>
      </c>
      <c r="AR768" s="35">
        <v>0</v>
      </c>
    </row>
    <row r="769" spans="43:44" x14ac:dyDescent="0.25">
      <c r="AQ769" s="16">
        <v>193</v>
      </c>
      <c r="AR769" s="35">
        <v>0</v>
      </c>
    </row>
    <row r="770" spans="43:44" x14ac:dyDescent="0.25">
      <c r="AQ770" s="136" t="s">
        <v>54</v>
      </c>
      <c r="AR770" s="35">
        <v>0</v>
      </c>
    </row>
    <row r="771" spans="43:44" x14ac:dyDescent="0.25">
      <c r="AQ771" s="138" t="s">
        <v>54</v>
      </c>
      <c r="AR771" s="35">
        <v>0</v>
      </c>
    </row>
    <row r="772" spans="43:44" x14ac:dyDescent="0.25">
      <c r="AQ772" s="139" t="s">
        <v>60</v>
      </c>
      <c r="AR772" s="35">
        <v>0</v>
      </c>
    </row>
    <row r="773" spans="43:44" x14ac:dyDescent="0.25">
      <c r="AQ773" s="16">
        <v>194</v>
      </c>
      <c r="AR773" s="35">
        <v>0</v>
      </c>
    </row>
    <row r="774" spans="43:44" x14ac:dyDescent="0.25">
      <c r="AQ774" s="136" t="s">
        <v>54</v>
      </c>
      <c r="AR774" s="35">
        <v>0</v>
      </c>
    </row>
    <row r="775" spans="43:44" x14ac:dyDescent="0.25">
      <c r="AQ775" s="138" t="s">
        <v>54</v>
      </c>
      <c r="AR775" s="35">
        <v>0</v>
      </c>
    </row>
    <row r="776" spans="43:44" x14ac:dyDescent="0.25">
      <c r="AQ776" s="139" t="s">
        <v>60</v>
      </c>
      <c r="AR776" s="35">
        <v>0</v>
      </c>
    </row>
    <row r="777" spans="43:44" x14ac:dyDescent="0.25">
      <c r="AQ777" s="16">
        <v>195</v>
      </c>
      <c r="AR777" s="35">
        <v>0</v>
      </c>
    </row>
    <row r="778" spans="43:44" x14ac:dyDescent="0.25">
      <c r="AQ778" s="136" t="s">
        <v>54</v>
      </c>
      <c r="AR778" s="35">
        <v>0</v>
      </c>
    </row>
    <row r="779" spans="43:44" x14ac:dyDescent="0.25">
      <c r="AQ779" s="138" t="s">
        <v>54</v>
      </c>
      <c r="AR779" s="35">
        <v>0</v>
      </c>
    </row>
    <row r="780" spans="43:44" x14ac:dyDescent="0.25">
      <c r="AQ780" s="139" t="s">
        <v>60</v>
      </c>
      <c r="AR780" s="35">
        <v>0</v>
      </c>
    </row>
    <row r="781" spans="43:44" x14ac:dyDescent="0.25">
      <c r="AQ781" s="16">
        <v>196</v>
      </c>
      <c r="AR781" s="35">
        <v>0</v>
      </c>
    </row>
    <row r="782" spans="43:44" x14ac:dyDescent="0.25">
      <c r="AQ782" s="136" t="s">
        <v>54</v>
      </c>
      <c r="AR782" s="35">
        <v>0</v>
      </c>
    </row>
    <row r="783" spans="43:44" x14ac:dyDescent="0.25">
      <c r="AQ783" s="138" t="s">
        <v>54</v>
      </c>
      <c r="AR783" s="35">
        <v>0</v>
      </c>
    </row>
    <row r="784" spans="43:44" x14ac:dyDescent="0.25">
      <c r="AQ784" s="139" t="s">
        <v>60</v>
      </c>
      <c r="AR784" s="35">
        <v>0</v>
      </c>
    </row>
    <row r="785" spans="43:44" x14ac:dyDescent="0.25">
      <c r="AQ785" s="16">
        <v>197</v>
      </c>
      <c r="AR785" s="35">
        <v>0</v>
      </c>
    </row>
    <row r="786" spans="43:44" x14ac:dyDescent="0.25">
      <c r="AQ786" s="136" t="s">
        <v>54</v>
      </c>
      <c r="AR786" s="35">
        <v>0</v>
      </c>
    </row>
    <row r="787" spans="43:44" x14ac:dyDescent="0.25">
      <c r="AQ787" s="138" t="s">
        <v>54</v>
      </c>
      <c r="AR787" s="35">
        <v>0</v>
      </c>
    </row>
    <row r="788" spans="43:44" x14ac:dyDescent="0.25">
      <c r="AQ788" s="139" t="s">
        <v>60</v>
      </c>
      <c r="AR788" s="35">
        <v>0</v>
      </c>
    </row>
    <row r="789" spans="43:44" x14ac:dyDescent="0.25">
      <c r="AQ789" s="16">
        <v>198</v>
      </c>
      <c r="AR789" s="35">
        <v>0</v>
      </c>
    </row>
    <row r="790" spans="43:44" x14ac:dyDescent="0.25">
      <c r="AQ790" s="136" t="s">
        <v>54</v>
      </c>
      <c r="AR790" s="35">
        <v>0</v>
      </c>
    </row>
    <row r="791" spans="43:44" x14ac:dyDescent="0.25">
      <c r="AQ791" s="138" t="s">
        <v>54</v>
      </c>
      <c r="AR791" s="35">
        <v>0</v>
      </c>
    </row>
    <row r="792" spans="43:44" x14ac:dyDescent="0.25">
      <c r="AQ792" s="139" t="s">
        <v>60</v>
      </c>
      <c r="AR792" s="35">
        <v>0</v>
      </c>
    </row>
    <row r="793" spans="43:44" x14ac:dyDescent="0.25">
      <c r="AQ793" s="16">
        <v>199</v>
      </c>
      <c r="AR793" s="35">
        <v>0</v>
      </c>
    </row>
    <row r="794" spans="43:44" x14ac:dyDescent="0.25">
      <c r="AQ794" s="136" t="s">
        <v>54</v>
      </c>
      <c r="AR794" s="35">
        <v>0</v>
      </c>
    </row>
    <row r="795" spans="43:44" x14ac:dyDescent="0.25">
      <c r="AQ795" s="138" t="s">
        <v>54</v>
      </c>
      <c r="AR795" s="35">
        <v>0</v>
      </c>
    </row>
    <row r="796" spans="43:44" x14ac:dyDescent="0.25">
      <c r="AQ796" s="139" t="s">
        <v>60</v>
      </c>
      <c r="AR796" s="35">
        <v>0</v>
      </c>
    </row>
    <row r="797" spans="43:44" x14ac:dyDescent="0.25">
      <c r="AQ797" s="16">
        <v>200</v>
      </c>
      <c r="AR797" s="35">
        <v>0</v>
      </c>
    </row>
    <row r="798" spans="43:44" x14ac:dyDescent="0.25">
      <c r="AQ798" s="136" t="s">
        <v>54</v>
      </c>
      <c r="AR798" s="35">
        <v>0</v>
      </c>
    </row>
    <row r="799" spans="43:44" x14ac:dyDescent="0.25">
      <c r="AQ799" s="138" t="s">
        <v>54</v>
      </c>
      <c r="AR799" s="35">
        <v>0</v>
      </c>
    </row>
    <row r="800" spans="43:44" x14ac:dyDescent="0.25">
      <c r="AQ800" s="139" t="s">
        <v>60</v>
      </c>
      <c r="AR800" s="35">
        <v>0</v>
      </c>
    </row>
    <row r="801" spans="43:44" x14ac:dyDescent="0.25">
      <c r="AQ801" s="16">
        <v>201</v>
      </c>
      <c r="AR801" s="35">
        <v>0</v>
      </c>
    </row>
    <row r="802" spans="43:44" x14ac:dyDescent="0.25">
      <c r="AQ802" s="136" t="s">
        <v>54</v>
      </c>
      <c r="AR802" s="35">
        <v>0</v>
      </c>
    </row>
    <row r="803" spans="43:44" x14ac:dyDescent="0.25">
      <c r="AQ803" s="138" t="s">
        <v>54</v>
      </c>
      <c r="AR803" s="35">
        <v>0</v>
      </c>
    </row>
    <row r="804" spans="43:44" x14ac:dyDescent="0.25">
      <c r="AQ804" s="139" t="s">
        <v>60</v>
      </c>
      <c r="AR804" s="35">
        <v>0</v>
      </c>
    </row>
    <row r="805" spans="43:44" x14ac:dyDescent="0.25">
      <c r="AQ805" s="16">
        <v>202</v>
      </c>
      <c r="AR805" s="35">
        <v>0</v>
      </c>
    </row>
    <row r="806" spans="43:44" x14ac:dyDescent="0.25">
      <c r="AQ806" s="136" t="s">
        <v>54</v>
      </c>
      <c r="AR806" s="35">
        <v>0</v>
      </c>
    </row>
    <row r="807" spans="43:44" x14ac:dyDescent="0.25">
      <c r="AQ807" s="138" t="s">
        <v>54</v>
      </c>
      <c r="AR807" s="35">
        <v>0</v>
      </c>
    </row>
    <row r="808" spans="43:44" x14ac:dyDescent="0.25">
      <c r="AQ808" s="139" t="s">
        <v>60</v>
      </c>
      <c r="AR808" s="35">
        <v>0</v>
      </c>
    </row>
    <row r="809" spans="43:44" x14ac:dyDescent="0.25">
      <c r="AQ809" s="16">
        <v>203</v>
      </c>
      <c r="AR809" s="35">
        <v>0</v>
      </c>
    </row>
    <row r="810" spans="43:44" x14ac:dyDescent="0.25">
      <c r="AQ810" s="136" t="s">
        <v>54</v>
      </c>
      <c r="AR810" s="35">
        <v>0</v>
      </c>
    </row>
    <row r="811" spans="43:44" x14ac:dyDescent="0.25">
      <c r="AQ811" s="138" t="s">
        <v>54</v>
      </c>
      <c r="AR811" s="35">
        <v>0</v>
      </c>
    </row>
    <row r="812" spans="43:44" x14ac:dyDescent="0.25">
      <c r="AQ812" s="139" t="s">
        <v>60</v>
      </c>
      <c r="AR812" s="35">
        <v>0</v>
      </c>
    </row>
    <row r="813" spans="43:44" x14ac:dyDescent="0.25">
      <c r="AQ813" s="16">
        <v>204</v>
      </c>
      <c r="AR813" s="35">
        <v>0</v>
      </c>
    </row>
    <row r="814" spans="43:44" x14ac:dyDescent="0.25">
      <c r="AQ814" s="136" t="s">
        <v>54</v>
      </c>
      <c r="AR814" s="35">
        <v>0</v>
      </c>
    </row>
    <row r="815" spans="43:44" x14ac:dyDescent="0.25">
      <c r="AQ815" s="138" t="s">
        <v>54</v>
      </c>
      <c r="AR815" s="35">
        <v>0</v>
      </c>
    </row>
    <row r="816" spans="43:44" x14ac:dyDescent="0.25">
      <c r="AQ816" s="139" t="s">
        <v>60</v>
      </c>
      <c r="AR816" s="35">
        <v>0</v>
      </c>
    </row>
    <row r="817" spans="43:44" x14ac:dyDescent="0.25">
      <c r="AQ817" s="16">
        <v>205</v>
      </c>
      <c r="AR817" s="35">
        <v>0</v>
      </c>
    </row>
    <row r="818" spans="43:44" x14ac:dyDescent="0.25">
      <c r="AQ818" s="136" t="s">
        <v>54</v>
      </c>
      <c r="AR818" s="35">
        <v>0</v>
      </c>
    </row>
    <row r="819" spans="43:44" x14ac:dyDescent="0.25">
      <c r="AQ819" s="138" t="s">
        <v>54</v>
      </c>
      <c r="AR819" s="35">
        <v>0</v>
      </c>
    </row>
    <row r="820" spans="43:44" x14ac:dyDescent="0.25">
      <c r="AQ820" s="139" t="s">
        <v>60</v>
      </c>
      <c r="AR820" s="35">
        <v>0</v>
      </c>
    </row>
    <row r="821" spans="43:44" x14ac:dyDescent="0.25">
      <c r="AQ821" s="16">
        <v>206</v>
      </c>
      <c r="AR821" s="35">
        <v>0</v>
      </c>
    </row>
    <row r="822" spans="43:44" x14ac:dyDescent="0.25">
      <c r="AQ822" s="136" t="s">
        <v>54</v>
      </c>
      <c r="AR822" s="35">
        <v>0</v>
      </c>
    </row>
    <row r="823" spans="43:44" x14ac:dyDescent="0.25">
      <c r="AQ823" s="138" t="s">
        <v>54</v>
      </c>
      <c r="AR823" s="35">
        <v>0</v>
      </c>
    </row>
    <row r="824" spans="43:44" x14ac:dyDescent="0.25">
      <c r="AQ824" s="139" t="s">
        <v>60</v>
      </c>
      <c r="AR824" s="35">
        <v>0</v>
      </c>
    </row>
    <row r="825" spans="43:44" x14ac:dyDescent="0.25">
      <c r="AQ825" s="16">
        <v>207</v>
      </c>
      <c r="AR825" s="35">
        <v>0</v>
      </c>
    </row>
    <row r="826" spans="43:44" x14ac:dyDescent="0.25">
      <c r="AQ826" s="136" t="s">
        <v>54</v>
      </c>
      <c r="AR826" s="35">
        <v>0</v>
      </c>
    </row>
    <row r="827" spans="43:44" x14ac:dyDescent="0.25">
      <c r="AQ827" s="138" t="s">
        <v>54</v>
      </c>
      <c r="AR827" s="35">
        <v>0</v>
      </c>
    </row>
    <row r="828" spans="43:44" x14ac:dyDescent="0.25">
      <c r="AQ828" s="139" t="s">
        <v>60</v>
      </c>
      <c r="AR828" s="35">
        <v>0</v>
      </c>
    </row>
    <row r="829" spans="43:44" x14ac:dyDescent="0.25">
      <c r="AQ829" s="16">
        <v>208</v>
      </c>
      <c r="AR829" s="35">
        <v>0</v>
      </c>
    </row>
    <row r="830" spans="43:44" x14ac:dyDescent="0.25">
      <c r="AQ830" s="136" t="s">
        <v>54</v>
      </c>
      <c r="AR830" s="35">
        <v>0</v>
      </c>
    </row>
    <row r="831" spans="43:44" x14ac:dyDescent="0.25">
      <c r="AQ831" s="138" t="s">
        <v>54</v>
      </c>
      <c r="AR831" s="35">
        <v>0</v>
      </c>
    </row>
    <row r="832" spans="43:44" x14ac:dyDescent="0.25">
      <c r="AQ832" s="139" t="s">
        <v>60</v>
      </c>
      <c r="AR832" s="35">
        <v>0</v>
      </c>
    </row>
    <row r="833" spans="43:44" x14ac:dyDescent="0.25">
      <c r="AQ833" s="16">
        <v>209</v>
      </c>
      <c r="AR833" s="35">
        <v>0</v>
      </c>
    </row>
    <row r="834" spans="43:44" x14ac:dyDescent="0.25">
      <c r="AQ834" s="136" t="s">
        <v>54</v>
      </c>
      <c r="AR834" s="35">
        <v>0</v>
      </c>
    </row>
    <row r="835" spans="43:44" x14ac:dyDescent="0.25">
      <c r="AQ835" s="138" t="s">
        <v>54</v>
      </c>
      <c r="AR835" s="35">
        <v>0</v>
      </c>
    </row>
    <row r="836" spans="43:44" x14ac:dyDescent="0.25">
      <c r="AQ836" s="139" t="s">
        <v>60</v>
      </c>
      <c r="AR836" s="35">
        <v>0</v>
      </c>
    </row>
    <row r="837" spans="43:44" x14ac:dyDescent="0.25">
      <c r="AQ837" s="16">
        <v>210</v>
      </c>
      <c r="AR837" s="35">
        <v>0</v>
      </c>
    </row>
    <row r="838" spans="43:44" x14ac:dyDescent="0.25">
      <c r="AQ838" s="136" t="s">
        <v>54</v>
      </c>
      <c r="AR838" s="35">
        <v>0</v>
      </c>
    </row>
    <row r="839" spans="43:44" x14ac:dyDescent="0.25">
      <c r="AQ839" s="138" t="s">
        <v>54</v>
      </c>
      <c r="AR839" s="35">
        <v>0</v>
      </c>
    </row>
    <row r="840" spans="43:44" x14ac:dyDescent="0.25">
      <c r="AQ840" s="139" t="s">
        <v>60</v>
      </c>
      <c r="AR840" s="35">
        <v>0</v>
      </c>
    </row>
    <row r="841" spans="43:44" x14ac:dyDescent="0.25">
      <c r="AQ841" s="16">
        <v>211</v>
      </c>
      <c r="AR841" s="35">
        <v>0</v>
      </c>
    </row>
    <row r="842" spans="43:44" x14ac:dyDescent="0.25">
      <c r="AQ842" s="136" t="s">
        <v>54</v>
      </c>
      <c r="AR842" s="35">
        <v>0</v>
      </c>
    </row>
    <row r="843" spans="43:44" x14ac:dyDescent="0.25">
      <c r="AQ843" s="138" t="s">
        <v>54</v>
      </c>
      <c r="AR843" s="35">
        <v>0</v>
      </c>
    </row>
    <row r="844" spans="43:44" x14ac:dyDescent="0.25">
      <c r="AQ844" s="139" t="s">
        <v>60</v>
      </c>
      <c r="AR844" s="35">
        <v>0</v>
      </c>
    </row>
    <row r="845" spans="43:44" x14ac:dyDescent="0.25">
      <c r="AQ845" s="16">
        <v>212</v>
      </c>
      <c r="AR845" s="35">
        <v>0</v>
      </c>
    </row>
    <row r="846" spans="43:44" x14ac:dyDescent="0.25">
      <c r="AQ846" s="136" t="s">
        <v>54</v>
      </c>
      <c r="AR846" s="35">
        <v>0</v>
      </c>
    </row>
    <row r="847" spans="43:44" x14ac:dyDescent="0.25">
      <c r="AQ847" s="138" t="s">
        <v>54</v>
      </c>
      <c r="AR847" s="35">
        <v>0</v>
      </c>
    </row>
    <row r="848" spans="43:44" x14ac:dyDescent="0.25">
      <c r="AQ848" s="139" t="s">
        <v>60</v>
      </c>
      <c r="AR848" s="35">
        <v>0</v>
      </c>
    </row>
    <row r="849" spans="43:44" x14ac:dyDescent="0.25">
      <c r="AQ849" s="16">
        <v>213</v>
      </c>
      <c r="AR849" s="35">
        <v>0</v>
      </c>
    </row>
    <row r="850" spans="43:44" x14ac:dyDescent="0.25">
      <c r="AQ850" s="136" t="s">
        <v>54</v>
      </c>
      <c r="AR850" s="35">
        <v>0</v>
      </c>
    </row>
    <row r="851" spans="43:44" x14ac:dyDescent="0.25">
      <c r="AQ851" s="138" t="s">
        <v>54</v>
      </c>
      <c r="AR851" s="35">
        <v>0</v>
      </c>
    </row>
    <row r="852" spans="43:44" x14ac:dyDescent="0.25">
      <c r="AQ852" s="139" t="s">
        <v>60</v>
      </c>
      <c r="AR852" s="35">
        <v>0</v>
      </c>
    </row>
    <row r="853" spans="43:44" x14ac:dyDescent="0.25">
      <c r="AQ853" s="16">
        <v>214</v>
      </c>
      <c r="AR853" s="35">
        <v>0</v>
      </c>
    </row>
    <row r="854" spans="43:44" x14ac:dyDescent="0.25">
      <c r="AQ854" s="136" t="s">
        <v>54</v>
      </c>
      <c r="AR854" s="35">
        <v>0</v>
      </c>
    </row>
    <row r="855" spans="43:44" x14ac:dyDescent="0.25">
      <c r="AQ855" s="138" t="s">
        <v>54</v>
      </c>
      <c r="AR855" s="35">
        <v>0</v>
      </c>
    </row>
    <row r="856" spans="43:44" x14ac:dyDescent="0.25">
      <c r="AQ856" s="139" t="s">
        <v>60</v>
      </c>
      <c r="AR856" s="35">
        <v>0</v>
      </c>
    </row>
    <row r="857" spans="43:44" x14ac:dyDescent="0.25">
      <c r="AQ857" s="16">
        <v>215</v>
      </c>
      <c r="AR857" s="35">
        <v>0</v>
      </c>
    </row>
    <row r="858" spans="43:44" x14ac:dyDescent="0.25">
      <c r="AQ858" s="136" t="s">
        <v>54</v>
      </c>
      <c r="AR858" s="35">
        <v>0</v>
      </c>
    </row>
    <row r="859" spans="43:44" x14ac:dyDescent="0.25">
      <c r="AQ859" s="138" t="s">
        <v>54</v>
      </c>
      <c r="AR859" s="35">
        <v>0</v>
      </c>
    </row>
    <row r="860" spans="43:44" x14ac:dyDescent="0.25">
      <c r="AQ860" s="139" t="s">
        <v>60</v>
      </c>
      <c r="AR860" s="35">
        <v>0</v>
      </c>
    </row>
    <row r="861" spans="43:44" x14ac:dyDescent="0.25">
      <c r="AQ861" s="16">
        <v>216</v>
      </c>
      <c r="AR861" s="35">
        <v>0</v>
      </c>
    </row>
    <row r="862" spans="43:44" x14ac:dyDescent="0.25">
      <c r="AQ862" s="136" t="s">
        <v>54</v>
      </c>
      <c r="AR862" s="35">
        <v>0</v>
      </c>
    </row>
    <row r="863" spans="43:44" x14ac:dyDescent="0.25">
      <c r="AQ863" s="138" t="s">
        <v>54</v>
      </c>
      <c r="AR863" s="35">
        <v>0</v>
      </c>
    </row>
    <row r="864" spans="43:44" x14ac:dyDescent="0.25">
      <c r="AQ864" s="139" t="s">
        <v>60</v>
      </c>
      <c r="AR864" s="35">
        <v>0</v>
      </c>
    </row>
    <row r="865" spans="43:44" x14ac:dyDescent="0.25">
      <c r="AQ865" s="16">
        <v>217</v>
      </c>
      <c r="AR865" s="35">
        <v>0</v>
      </c>
    </row>
    <row r="866" spans="43:44" x14ac:dyDescent="0.25">
      <c r="AQ866" s="136" t="s">
        <v>54</v>
      </c>
      <c r="AR866" s="35">
        <v>0</v>
      </c>
    </row>
    <row r="867" spans="43:44" x14ac:dyDescent="0.25">
      <c r="AQ867" s="138" t="s">
        <v>54</v>
      </c>
      <c r="AR867" s="35">
        <v>0</v>
      </c>
    </row>
    <row r="868" spans="43:44" x14ac:dyDescent="0.25">
      <c r="AQ868" s="139" t="s">
        <v>60</v>
      </c>
      <c r="AR868" s="35">
        <v>0</v>
      </c>
    </row>
    <row r="869" spans="43:44" x14ac:dyDescent="0.25">
      <c r="AQ869" s="16">
        <v>218</v>
      </c>
      <c r="AR869" s="35">
        <v>0</v>
      </c>
    </row>
    <row r="870" spans="43:44" x14ac:dyDescent="0.25">
      <c r="AQ870" s="136" t="s">
        <v>54</v>
      </c>
      <c r="AR870" s="35">
        <v>0</v>
      </c>
    </row>
    <row r="871" spans="43:44" x14ac:dyDescent="0.25">
      <c r="AQ871" s="138" t="s">
        <v>54</v>
      </c>
      <c r="AR871" s="35">
        <v>0</v>
      </c>
    </row>
    <row r="872" spans="43:44" x14ac:dyDescent="0.25">
      <c r="AQ872" s="139" t="s">
        <v>60</v>
      </c>
      <c r="AR872" s="35">
        <v>0</v>
      </c>
    </row>
    <row r="873" spans="43:44" x14ac:dyDescent="0.25">
      <c r="AQ873" s="16">
        <v>219</v>
      </c>
      <c r="AR873" s="35">
        <v>0</v>
      </c>
    </row>
    <row r="874" spans="43:44" x14ac:dyDescent="0.25">
      <c r="AQ874" s="136" t="s">
        <v>54</v>
      </c>
      <c r="AR874" s="35">
        <v>0</v>
      </c>
    </row>
    <row r="875" spans="43:44" x14ac:dyDescent="0.25">
      <c r="AQ875" s="138" t="s">
        <v>54</v>
      </c>
      <c r="AR875" s="35">
        <v>0</v>
      </c>
    </row>
    <row r="876" spans="43:44" x14ac:dyDescent="0.25">
      <c r="AQ876" s="139" t="s">
        <v>60</v>
      </c>
      <c r="AR876" s="35">
        <v>0</v>
      </c>
    </row>
    <row r="877" spans="43:44" x14ac:dyDescent="0.25">
      <c r="AQ877" s="16">
        <v>220</v>
      </c>
      <c r="AR877" s="35">
        <v>0</v>
      </c>
    </row>
    <row r="878" spans="43:44" x14ac:dyDescent="0.25">
      <c r="AQ878" s="136" t="s">
        <v>54</v>
      </c>
      <c r="AR878" s="35">
        <v>0</v>
      </c>
    </row>
    <row r="879" spans="43:44" x14ac:dyDescent="0.25">
      <c r="AQ879" s="138" t="s">
        <v>54</v>
      </c>
      <c r="AR879" s="35">
        <v>0</v>
      </c>
    </row>
    <row r="880" spans="43:44" x14ac:dyDescent="0.25">
      <c r="AQ880" s="139" t="s">
        <v>60</v>
      </c>
      <c r="AR880" s="35">
        <v>0</v>
      </c>
    </row>
    <row r="881" spans="43:44" x14ac:dyDescent="0.25">
      <c r="AQ881" s="16">
        <v>221</v>
      </c>
      <c r="AR881" s="35">
        <v>0</v>
      </c>
    </row>
    <row r="882" spans="43:44" x14ac:dyDescent="0.25">
      <c r="AQ882" s="136" t="s">
        <v>54</v>
      </c>
      <c r="AR882" s="35">
        <v>0</v>
      </c>
    </row>
    <row r="883" spans="43:44" x14ac:dyDescent="0.25">
      <c r="AQ883" s="138" t="s">
        <v>54</v>
      </c>
      <c r="AR883" s="35">
        <v>0</v>
      </c>
    </row>
    <row r="884" spans="43:44" x14ac:dyDescent="0.25">
      <c r="AQ884" s="139" t="s">
        <v>60</v>
      </c>
      <c r="AR884" s="35">
        <v>0</v>
      </c>
    </row>
    <row r="885" spans="43:44" x14ac:dyDescent="0.25">
      <c r="AQ885" s="16">
        <v>222</v>
      </c>
      <c r="AR885" s="35">
        <v>0</v>
      </c>
    </row>
    <row r="886" spans="43:44" x14ac:dyDescent="0.25">
      <c r="AQ886" s="136" t="s">
        <v>54</v>
      </c>
      <c r="AR886" s="35">
        <v>0</v>
      </c>
    </row>
    <row r="887" spans="43:44" x14ac:dyDescent="0.25">
      <c r="AQ887" s="138" t="s">
        <v>54</v>
      </c>
      <c r="AR887" s="35">
        <v>0</v>
      </c>
    </row>
    <row r="888" spans="43:44" x14ac:dyDescent="0.25">
      <c r="AQ888" s="139" t="s">
        <v>60</v>
      </c>
      <c r="AR888" s="35">
        <v>0</v>
      </c>
    </row>
    <row r="889" spans="43:44" x14ac:dyDescent="0.25">
      <c r="AQ889" s="16">
        <v>223</v>
      </c>
      <c r="AR889" s="35">
        <v>0</v>
      </c>
    </row>
    <row r="890" spans="43:44" x14ac:dyDescent="0.25">
      <c r="AQ890" s="136" t="s">
        <v>54</v>
      </c>
      <c r="AR890" s="35">
        <v>0</v>
      </c>
    </row>
    <row r="891" spans="43:44" x14ac:dyDescent="0.25">
      <c r="AQ891" s="138" t="s">
        <v>54</v>
      </c>
      <c r="AR891" s="35">
        <v>0</v>
      </c>
    </row>
    <row r="892" spans="43:44" x14ac:dyDescent="0.25">
      <c r="AQ892" s="139" t="s">
        <v>60</v>
      </c>
      <c r="AR892" s="35">
        <v>0</v>
      </c>
    </row>
    <row r="893" spans="43:44" x14ac:dyDescent="0.25">
      <c r="AQ893" s="16">
        <v>224</v>
      </c>
      <c r="AR893" s="35">
        <v>0</v>
      </c>
    </row>
    <row r="894" spans="43:44" x14ac:dyDescent="0.25">
      <c r="AQ894" s="136" t="s">
        <v>54</v>
      </c>
      <c r="AR894" s="35">
        <v>0</v>
      </c>
    </row>
    <row r="895" spans="43:44" x14ac:dyDescent="0.25">
      <c r="AQ895" s="138" t="s">
        <v>54</v>
      </c>
      <c r="AR895" s="35">
        <v>0</v>
      </c>
    </row>
    <row r="896" spans="43:44" x14ac:dyDescent="0.25">
      <c r="AQ896" s="139" t="s">
        <v>60</v>
      </c>
      <c r="AR896" s="35">
        <v>0</v>
      </c>
    </row>
    <row r="897" spans="43:44" x14ac:dyDescent="0.25">
      <c r="AQ897" s="16">
        <v>225</v>
      </c>
      <c r="AR897" s="35">
        <v>0</v>
      </c>
    </row>
    <row r="898" spans="43:44" x14ac:dyDescent="0.25">
      <c r="AQ898" s="136" t="s">
        <v>54</v>
      </c>
      <c r="AR898" s="35">
        <v>0</v>
      </c>
    </row>
    <row r="899" spans="43:44" x14ac:dyDescent="0.25">
      <c r="AQ899" s="138" t="s">
        <v>54</v>
      </c>
      <c r="AR899" s="35">
        <v>0</v>
      </c>
    </row>
    <row r="900" spans="43:44" x14ac:dyDescent="0.25">
      <c r="AQ900" s="139" t="s">
        <v>60</v>
      </c>
      <c r="AR900" s="35">
        <v>0</v>
      </c>
    </row>
    <row r="901" spans="43:44" x14ac:dyDescent="0.25">
      <c r="AQ901" s="16">
        <v>226</v>
      </c>
      <c r="AR901" s="35">
        <v>0</v>
      </c>
    </row>
    <row r="902" spans="43:44" x14ac:dyDescent="0.25">
      <c r="AQ902" s="136" t="s">
        <v>54</v>
      </c>
      <c r="AR902" s="35">
        <v>0</v>
      </c>
    </row>
    <row r="903" spans="43:44" x14ac:dyDescent="0.25">
      <c r="AQ903" s="138" t="s">
        <v>54</v>
      </c>
      <c r="AR903" s="35">
        <v>0</v>
      </c>
    </row>
    <row r="904" spans="43:44" x14ac:dyDescent="0.25">
      <c r="AQ904" s="139" t="s">
        <v>60</v>
      </c>
      <c r="AR904" s="35">
        <v>0</v>
      </c>
    </row>
    <row r="905" spans="43:44" x14ac:dyDescent="0.25">
      <c r="AQ905" s="16">
        <v>227</v>
      </c>
      <c r="AR905" s="35">
        <v>0</v>
      </c>
    </row>
    <row r="906" spans="43:44" x14ac:dyDescent="0.25">
      <c r="AQ906" s="136" t="s">
        <v>54</v>
      </c>
      <c r="AR906" s="35">
        <v>0</v>
      </c>
    </row>
    <row r="907" spans="43:44" x14ac:dyDescent="0.25">
      <c r="AQ907" s="138" t="s">
        <v>54</v>
      </c>
      <c r="AR907" s="35">
        <v>0</v>
      </c>
    </row>
    <row r="908" spans="43:44" x14ac:dyDescent="0.25">
      <c r="AQ908" s="139" t="s">
        <v>60</v>
      </c>
      <c r="AR908" s="35">
        <v>0</v>
      </c>
    </row>
    <row r="909" spans="43:44" x14ac:dyDescent="0.25">
      <c r="AQ909" s="16">
        <v>228</v>
      </c>
      <c r="AR909" s="35">
        <v>0</v>
      </c>
    </row>
    <row r="910" spans="43:44" x14ac:dyDescent="0.25">
      <c r="AQ910" s="136" t="s">
        <v>54</v>
      </c>
      <c r="AR910" s="35">
        <v>0</v>
      </c>
    </row>
    <row r="911" spans="43:44" x14ac:dyDescent="0.25">
      <c r="AQ911" s="138" t="s">
        <v>54</v>
      </c>
      <c r="AR911" s="35">
        <v>0</v>
      </c>
    </row>
    <row r="912" spans="43:44" x14ac:dyDescent="0.25">
      <c r="AQ912" s="139" t="s">
        <v>60</v>
      </c>
      <c r="AR912" s="35">
        <v>0</v>
      </c>
    </row>
    <row r="913" spans="43:44" x14ac:dyDescent="0.25">
      <c r="AQ913" s="16">
        <v>229</v>
      </c>
      <c r="AR913" s="35">
        <v>0</v>
      </c>
    </row>
    <row r="914" spans="43:44" x14ac:dyDescent="0.25">
      <c r="AQ914" s="136" t="s">
        <v>54</v>
      </c>
      <c r="AR914" s="35">
        <v>0</v>
      </c>
    </row>
    <row r="915" spans="43:44" x14ac:dyDescent="0.25">
      <c r="AQ915" s="138" t="s">
        <v>54</v>
      </c>
      <c r="AR915" s="35">
        <v>0</v>
      </c>
    </row>
    <row r="916" spans="43:44" x14ac:dyDescent="0.25">
      <c r="AQ916" s="139" t="s">
        <v>60</v>
      </c>
      <c r="AR916" s="35">
        <v>0</v>
      </c>
    </row>
    <row r="917" spans="43:44" x14ac:dyDescent="0.25">
      <c r="AQ917" s="16">
        <v>230</v>
      </c>
      <c r="AR917" s="35">
        <v>0</v>
      </c>
    </row>
    <row r="918" spans="43:44" x14ac:dyDescent="0.25">
      <c r="AQ918" s="136" t="s">
        <v>54</v>
      </c>
      <c r="AR918" s="35">
        <v>0</v>
      </c>
    </row>
    <row r="919" spans="43:44" x14ac:dyDescent="0.25">
      <c r="AQ919" s="138" t="s">
        <v>54</v>
      </c>
      <c r="AR919" s="35">
        <v>0</v>
      </c>
    </row>
    <row r="920" spans="43:44" x14ac:dyDescent="0.25">
      <c r="AQ920" s="139" t="s">
        <v>60</v>
      </c>
      <c r="AR920" s="35">
        <v>0</v>
      </c>
    </row>
    <row r="921" spans="43:44" x14ac:dyDescent="0.25">
      <c r="AQ921" s="16">
        <v>231</v>
      </c>
      <c r="AR921" s="35">
        <v>0</v>
      </c>
    </row>
    <row r="922" spans="43:44" x14ac:dyDescent="0.25">
      <c r="AQ922" s="136" t="s">
        <v>54</v>
      </c>
      <c r="AR922" s="35">
        <v>0</v>
      </c>
    </row>
    <row r="923" spans="43:44" x14ac:dyDescent="0.25">
      <c r="AQ923" s="138" t="s">
        <v>54</v>
      </c>
      <c r="AR923" s="35">
        <v>0</v>
      </c>
    </row>
    <row r="924" spans="43:44" x14ac:dyDescent="0.25">
      <c r="AQ924" s="139" t="s">
        <v>60</v>
      </c>
      <c r="AR924" s="35">
        <v>0</v>
      </c>
    </row>
    <row r="925" spans="43:44" x14ac:dyDescent="0.25">
      <c r="AQ925" s="16">
        <v>232</v>
      </c>
      <c r="AR925" s="35">
        <v>0</v>
      </c>
    </row>
    <row r="926" spans="43:44" x14ac:dyDescent="0.25">
      <c r="AQ926" s="136" t="s">
        <v>54</v>
      </c>
      <c r="AR926" s="35">
        <v>0</v>
      </c>
    </row>
    <row r="927" spans="43:44" x14ac:dyDescent="0.25">
      <c r="AQ927" s="138" t="s">
        <v>54</v>
      </c>
      <c r="AR927" s="35">
        <v>0</v>
      </c>
    </row>
    <row r="928" spans="43:44" x14ac:dyDescent="0.25">
      <c r="AQ928" s="139" t="s">
        <v>60</v>
      </c>
      <c r="AR928" s="35">
        <v>0</v>
      </c>
    </row>
    <row r="929" spans="43:44" x14ac:dyDescent="0.25">
      <c r="AQ929" s="16">
        <v>233</v>
      </c>
      <c r="AR929" s="35">
        <v>0</v>
      </c>
    </row>
    <row r="930" spans="43:44" x14ac:dyDescent="0.25">
      <c r="AQ930" s="136" t="s">
        <v>54</v>
      </c>
      <c r="AR930" s="35">
        <v>0</v>
      </c>
    </row>
    <row r="931" spans="43:44" x14ac:dyDescent="0.25">
      <c r="AQ931" s="138" t="s">
        <v>54</v>
      </c>
      <c r="AR931" s="35">
        <v>0</v>
      </c>
    </row>
    <row r="932" spans="43:44" x14ac:dyDescent="0.25">
      <c r="AQ932" s="139" t="s">
        <v>60</v>
      </c>
      <c r="AR932" s="35">
        <v>0</v>
      </c>
    </row>
    <row r="933" spans="43:44" x14ac:dyDescent="0.25">
      <c r="AQ933" s="16">
        <v>234</v>
      </c>
      <c r="AR933" s="35">
        <v>0</v>
      </c>
    </row>
    <row r="934" spans="43:44" x14ac:dyDescent="0.25">
      <c r="AQ934" s="136" t="s">
        <v>54</v>
      </c>
      <c r="AR934" s="35">
        <v>0</v>
      </c>
    </row>
    <row r="935" spans="43:44" x14ac:dyDescent="0.25">
      <c r="AQ935" s="138" t="s">
        <v>54</v>
      </c>
      <c r="AR935" s="35">
        <v>0</v>
      </c>
    </row>
    <row r="936" spans="43:44" x14ac:dyDescent="0.25">
      <c r="AQ936" s="139" t="s">
        <v>60</v>
      </c>
      <c r="AR936" s="35">
        <v>0</v>
      </c>
    </row>
    <row r="937" spans="43:44" x14ac:dyDescent="0.25">
      <c r="AQ937" s="16">
        <v>235</v>
      </c>
      <c r="AR937" s="35">
        <v>0</v>
      </c>
    </row>
    <row r="938" spans="43:44" x14ac:dyDescent="0.25">
      <c r="AQ938" s="136" t="s">
        <v>54</v>
      </c>
      <c r="AR938" s="35">
        <v>0</v>
      </c>
    </row>
    <row r="939" spans="43:44" x14ac:dyDescent="0.25">
      <c r="AQ939" s="138" t="s">
        <v>54</v>
      </c>
      <c r="AR939" s="35">
        <v>0</v>
      </c>
    </row>
    <row r="940" spans="43:44" x14ac:dyDescent="0.25">
      <c r="AQ940" s="139" t="s">
        <v>60</v>
      </c>
      <c r="AR940" s="35">
        <v>0</v>
      </c>
    </row>
    <row r="941" spans="43:44" x14ac:dyDescent="0.25">
      <c r="AQ941" s="16">
        <v>236</v>
      </c>
      <c r="AR941" s="35">
        <v>0</v>
      </c>
    </row>
    <row r="942" spans="43:44" x14ac:dyDescent="0.25">
      <c r="AQ942" s="136" t="s">
        <v>54</v>
      </c>
      <c r="AR942" s="35">
        <v>0</v>
      </c>
    </row>
    <row r="943" spans="43:44" x14ac:dyDescent="0.25">
      <c r="AQ943" s="138" t="s">
        <v>54</v>
      </c>
      <c r="AR943" s="35">
        <v>0</v>
      </c>
    </row>
    <row r="944" spans="43:44" x14ac:dyDescent="0.25">
      <c r="AQ944" s="139" t="s">
        <v>60</v>
      </c>
      <c r="AR944" s="35">
        <v>0</v>
      </c>
    </row>
    <row r="945" spans="43:44" x14ac:dyDescent="0.25">
      <c r="AQ945" s="16">
        <v>237</v>
      </c>
      <c r="AR945" s="35">
        <v>0</v>
      </c>
    </row>
    <row r="946" spans="43:44" x14ac:dyDescent="0.25">
      <c r="AQ946" s="136" t="s">
        <v>54</v>
      </c>
      <c r="AR946" s="35">
        <v>0</v>
      </c>
    </row>
    <row r="947" spans="43:44" x14ac:dyDescent="0.25">
      <c r="AQ947" s="138" t="s">
        <v>54</v>
      </c>
      <c r="AR947" s="35">
        <v>0</v>
      </c>
    </row>
    <row r="948" spans="43:44" x14ac:dyDescent="0.25">
      <c r="AQ948" s="139" t="s">
        <v>60</v>
      </c>
      <c r="AR948" s="35">
        <v>0</v>
      </c>
    </row>
    <row r="949" spans="43:44" x14ac:dyDescent="0.25">
      <c r="AQ949" s="16">
        <v>238</v>
      </c>
      <c r="AR949" s="35">
        <v>0</v>
      </c>
    </row>
    <row r="950" spans="43:44" x14ac:dyDescent="0.25">
      <c r="AQ950" s="136" t="s">
        <v>54</v>
      </c>
      <c r="AR950" s="35">
        <v>0</v>
      </c>
    </row>
    <row r="951" spans="43:44" x14ac:dyDescent="0.25">
      <c r="AQ951" s="138" t="s">
        <v>54</v>
      </c>
      <c r="AR951" s="35">
        <v>0</v>
      </c>
    </row>
    <row r="952" spans="43:44" x14ac:dyDescent="0.25">
      <c r="AQ952" s="139" t="s">
        <v>60</v>
      </c>
      <c r="AR952" s="35">
        <v>0</v>
      </c>
    </row>
    <row r="953" spans="43:44" x14ac:dyDescent="0.25">
      <c r="AQ953" s="16">
        <v>239</v>
      </c>
      <c r="AR953" s="35">
        <v>0</v>
      </c>
    </row>
    <row r="954" spans="43:44" x14ac:dyDescent="0.25">
      <c r="AQ954" s="136" t="s">
        <v>54</v>
      </c>
      <c r="AR954" s="35">
        <v>0</v>
      </c>
    </row>
    <row r="955" spans="43:44" x14ac:dyDescent="0.25">
      <c r="AQ955" s="138" t="s">
        <v>54</v>
      </c>
      <c r="AR955" s="35">
        <v>0</v>
      </c>
    </row>
    <row r="956" spans="43:44" x14ac:dyDescent="0.25">
      <c r="AQ956" s="139" t="s">
        <v>60</v>
      </c>
      <c r="AR956" s="35">
        <v>0</v>
      </c>
    </row>
    <row r="957" spans="43:44" x14ac:dyDescent="0.25">
      <c r="AQ957" s="16">
        <v>240</v>
      </c>
      <c r="AR957" s="35">
        <v>0</v>
      </c>
    </row>
    <row r="958" spans="43:44" x14ac:dyDescent="0.25">
      <c r="AQ958" s="136" t="s">
        <v>54</v>
      </c>
      <c r="AR958" s="35">
        <v>0</v>
      </c>
    </row>
    <row r="959" spans="43:44" x14ac:dyDescent="0.25">
      <c r="AQ959" s="138" t="s">
        <v>54</v>
      </c>
      <c r="AR959" s="35">
        <v>0</v>
      </c>
    </row>
    <row r="960" spans="43:44" x14ac:dyDescent="0.25">
      <c r="AQ960" s="139" t="s">
        <v>60</v>
      </c>
      <c r="AR960" s="35">
        <v>0</v>
      </c>
    </row>
    <row r="961" spans="43:44" x14ac:dyDescent="0.25">
      <c r="AQ961" s="16">
        <v>241</v>
      </c>
      <c r="AR961" s="35">
        <v>0</v>
      </c>
    </row>
    <row r="962" spans="43:44" x14ac:dyDescent="0.25">
      <c r="AQ962" s="136" t="s">
        <v>54</v>
      </c>
      <c r="AR962" s="35">
        <v>0</v>
      </c>
    </row>
    <row r="963" spans="43:44" x14ac:dyDescent="0.25">
      <c r="AQ963" s="138" t="s">
        <v>54</v>
      </c>
      <c r="AR963" s="35">
        <v>0</v>
      </c>
    </row>
    <row r="964" spans="43:44" x14ac:dyDescent="0.25">
      <c r="AQ964" s="139" t="s">
        <v>60</v>
      </c>
      <c r="AR964" s="35">
        <v>0</v>
      </c>
    </row>
    <row r="965" spans="43:44" x14ac:dyDescent="0.25">
      <c r="AQ965" s="16">
        <v>242</v>
      </c>
      <c r="AR965" s="35">
        <v>0</v>
      </c>
    </row>
    <row r="966" spans="43:44" x14ac:dyDescent="0.25">
      <c r="AQ966" s="136" t="s">
        <v>54</v>
      </c>
      <c r="AR966" s="35">
        <v>0</v>
      </c>
    </row>
    <row r="967" spans="43:44" x14ac:dyDescent="0.25">
      <c r="AQ967" s="138" t="s">
        <v>54</v>
      </c>
      <c r="AR967" s="35">
        <v>0</v>
      </c>
    </row>
    <row r="968" spans="43:44" x14ac:dyDescent="0.25">
      <c r="AQ968" s="139" t="s">
        <v>60</v>
      </c>
      <c r="AR968" s="35">
        <v>0</v>
      </c>
    </row>
    <row r="969" spans="43:44" x14ac:dyDescent="0.25">
      <c r="AQ969" s="16">
        <v>243</v>
      </c>
      <c r="AR969" s="35">
        <v>0</v>
      </c>
    </row>
    <row r="970" spans="43:44" x14ac:dyDescent="0.25">
      <c r="AQ970" s="136" t="s">
        <v>54</v>
      </c>
      <c r="AR970" s="35">
        <v>0</v>
      </c>
    </row>
    <row r="971" spans="43:44" x14ac:dyDescent="0.25">
      <c r="AQ971" s="138" t="s">
        <v>54</v>
      </c>
      <c r="AR971" s="35">
        <v>0</v>
      </c>
    </row>
    <row r="972" spans="43:44" x14ac:dyDescent="0.25">
      <c r="AQ972" s="139" t="s">
        <v>60</v>
      </c>
      <c r="AR972" s="35">
        <v>0</v>
      </c>
    </row>
    <row r="973" spans="43:44" x14ac:dyDescent="0.25">
      <c r="AQ973" s="16">
        <v>244</v>
      </c>
      <c r="AR973" s="35">
        <v>0</v>
      </c>
    </row>
    <row r="974" spans="43:44" x14ac:dyDescent="0.25">
      <c r="AQ974" s="136" t="s">
        <v>54</v>
      </c>
      <c r="AR974" s="35">
        <v>0</v>
      </c>
    </row>
    <row r="975" spans="43:44" x14ac:dyDescent="0.25">
      <c r="AQ975" s="138" t="s">
        <v>54</v>
      </c>
      <c r="AR975" s="35">
        <v>0</v>
      </c>
    </row>
    <row r="976" spans="43:44" x14ac:dyDescent="0.25">
      <c r="AQ976" s="139" t="s">
        <v>60</v>
      </c>
      <c r="AR976" s="35">
        <v>0</v>
      </c>
    </row>
    <row r="977" spans="43:44" x14ac:dyDescent="0.25">
      <c r="AQ977" s="16">
        <v>245</v>
      </c>
      <c r="AR977" s="35">
        <v>0</v>
      </c>
    </row>
    <row r="978" spans="43:44" x14ac:dyDescent="0.25">
      <c r="AQ978" s="136" t="s">
        <v>54</v>
      </c>
      <c r="AR978" s="35">
        <v>0</v>
      </c>
    </row>
    <row r="979" spans="43:44" x14ac:dyDescent="0.25">
      <c r="AQ979" s="138" t="s">
        <v>54</v>
      </c>
      <c r="AR979" s="35">
        <v>0</v>
      </c>
    </row>
    <row r="980" spans="43:44" x14ac:dyDescent="0.25">
      <c r="AQ980" s="139" t="s">
        <v>60</v>
      </c>
      <c r="AR980" s="35">
        <v>0</v>
      </c>
    </row>
    <row r="981" spans="43:44" x14ac:dyDescent="0.25">
      <c r="AQ981" s="16">
        <v>246</v>
      </c>
      <c r="AR981" s="35">
        <v>0</v>
      </c>
    </row>
    <row r="982" spans="43:44" x14ac:dyDescent="0.25">
      <c r="AQ982" s="136" t="s">
        <v>54</v>
      </c>
      <c r="AR982" s="35">
        <v>0</v>
      </c>
    </row>
    <row r="983" spans="43:44" x14ac:dyDescent="0.25">
      <c r="AQ983" s="138" t="s">
        <v>54</v>
      </c>
      <c r="AR983" s="35">
        <v>0</v>
      </c>
    </row>
    <row r="984" spans="43:44" x14ac:dyDescent="0.25">
      <c r="AQ984" s="139" t="s">
        <v>60</v>
      </c>
      <c r="AR984" s="35">
        <v>0</v>
      </c>
    </row>
    <row r="985" spans="43:44" x14ac:dyDescent="0.25">
      <c r="AQ985" s="16">
        <v>247</v>
      </c>
      <c r="AR985" s="35">
        <v>0</v>
      </c>
    </row>
    <row r="986" spans="43:44" x14ac:dyDescent="0.25">
      <c r="AQ986" s="136" t="s">
        <v>54</v>
      </c>
      <c r="AR986" s="35">
        <v>0</v>
      </c>
    </row>
    <row r="987" spans="43:44" x14ac:dyDescent="0.25">
      <c r="AQ987" s="138" t="s">
        <v>54</v>
      </c>
      <c r="AR987" s="35">
        <v>0</v>
      </c>
    </row>
    <row r="988" spans="43:44" x14ac:dyDescent="0.25">
      <c r="AQ988" s="139" t="s">
        <v>60</v>
      </c>
      <c r="AR988" s="35">
        <v>0</v>
      </c>
    </row>
    <row r="989" spans="43:44" x14ac:dyDescent="0.25">
      <c r="AQ989" s="16">
        <v>248</v>
      </c>
      <c r="AR989" s="35">
        <v>0</v>
      </c>
    </row>
    <row r="990" spans="43:44" x14ac:dyDescent="0.25">
      <c r="AQ990" s="136" t="s">
        <v>54</v>
      </c>
      <c r="AR990" s="35">
        <v>0</v>
      </c>
    </row>
    <row r="991" spans="43:44" x14ac:dyDescent="0.25">
      <c r="AQ991" s="138" t="s">
        <v>54</v>
      </c>
      <c r="AR991" s="35">
        <v>0</v>
      </c>
    </row>
    <row r="992" spans="43:44" x14ac:dyDescent="0.25">
      <c r="AQ992" s="139" t="s">
        <v>60</v>
      </c>
      <c r="AR992" s="35">
        <v>0</v>
      </c>
    </row>
    <row r="993" spans="43:44" x14ac:dyDescent="0.25">
      <c r="AQ993" s="16">
        <v>249</v>
      </c>
      <c r="AR993" s="35">
        <v>0</v>
      </c>
    </row>
    <row r="994" spans="43:44" x14ac:dyDescent="0.25">
      <c r="AQ994" s="136" t="s">
        <v>54</v>
      </c>
      <c r="AR994" s="35">
        <v>0</v>
      </c>
    </row>
    <row r="995" spans="43:44" x14ac:dyDescent="0.25">
      <c r="AQ995" s="138" t="s">
        <v>54</v>
      </c>
      <c r="AR995" s="35">
        <v>0</v>
      </c>
    </row>
    <row r="996" spans="43:44" x14ac:dyDescent="0.25">
      <c r="AQ996" s="139" t="s">
        <v>60</v>
      </c>
      <c r="AR996" s="35">
        <v>0</v>
      </c>
    </row>
    <row r="997" spans="43:44" x14ac:dyDescent="0.25">
      <c r="AQ997" s="16">
        <v>250</v>
      </c>
      <c r="AR997" s="35">
        <v>0</v>
      </c>
    </row>
    <row r="998" spans="43:44" x14ac:dyDescent="0.25">
      <c r="AQ998" s="136" t="s">
        <v>54</v>
      </c>
      <c r="AR998" s="35">
        <v>0</v>
      </c>
    </row>
    <row r="999" spans="43:44" x14ac:dyDescent="0.25">
      <c r="AQ999" s="138" t="s">
        <v>54</v>
      </c>
      <c r="AR999" s="35">
        <v>0</v>
      </c>
    </row>
    <row r="1000" spans="43:44" x14ac:dyDescent="0.25">
      <c r="AQ1000" s="139" t="s">
        <v>60</v>
      </c>
      <c r="AR1000" s="35">
        <v>0</v>
      </c>
    </row>
    <row r="1001" spans="43:44" x14ac:dyDescent="0.25">
      <c r="AQ1001" s="16">
        <v>251</v>
      </c>
      <c r="AR1001" s="35">
        <v>0</v>
      </c>
    </row>
    <row r="1002" spans="43:44" x14ac:dyDescent="0.25">
      <c r="AQ1002" s="136" t="s">
        <v>54</v>
      </c>
      <c r="AR1002" s="35">
        <v>0</v>
      </c>
    </row>
    <row r="1003" spans="43:44" x14ac:dyDescent="0.25">
      <c r="AQ1003" s="138" t="s">
        <v>54</v>
      </c>
      <c r="AR1003" s="35">
        <v>0</v>
      </c>
    </row>
    <row r="1004" spans="43:44" x14ac:dyDescent="0.25">
      <c r="AQ1004" s="139" t="s">
        <v>60</v>
      </c>
      <c r="AR1004" s="35">
        <v>0</v>
      </c>
    </row>
    <row r="1005" spans="43:44" x14ac:dyDescent="0.25">
      <c r="AQ1005" s="16">
        <v>252</v>
      </c>
      <c r="AR1005" s="35">
        <v>0</v>
      </c>
    </row>
    <row r="1006" spans="43:44" x14ac:dyDescent="0.25">
      <c r="AQ1006" s="136" t="s">
        <v>54</v>
      </c>
      <c r="AR1006" s="35">
        <v>0</v>
      </c>
    </row>
    <row r="1007" spans="43:44" x14ac:dyDescent="0.25">
      <c r="AQ1007" s="138" t="s">
        <v>54</v>
      </c>
      <c r="AR1007" s="35">
        <v>0</v>
      </c>
    </row>
    <row r="1008" spans="43:44" x14ac:dyDescent="0.25">
      <c r="AQ1008" s="139" t="s">
        <v>60</v>
      </c>
      <c r="AR1008" s="35">
        <v>0</v>
      </c>
    </row>
    <row r="1009" spans="43:44" x14ac:dyDescent="0.25">
      <c r="AQ1009" s="16">
        <v>253</v>
      </c>
      <c r="AR1009" s="35">
        <v>0</v>
      </c>
    </row>
    <row r="1010" spans="43:44" x14ac:dyDescent="0.25">
      <c r="AQ1010" s="136" t="s">
        <v>54</v>
      </c>
      <c r="AR1010" s="35">
        <v>0</v>
      </c>
    </row>
    <row r="1011" spans="43:44" x14ac:dyDescent="0.25">
      <c r="AQ1011" s="138" t="s">
        <v>54</v>
      </c>
      <c r="AR1011" s="35">
        <v>0</v>
      </c>
    </row>
    <row r="1012" spans="43:44" x14ac:dyDescent="0.25">
      <c r="AQ1012" s="139" t="s">
        <v>60</v>
      </c>
      <c r="AR1012" s="35">
        <v>0</v>
      </c>
    </row>
    <row r="1013" spans="43:44" x14ac:dyDescent="0.25">
      <c r="AQ1013" s="16">
        <v>254</v>
      </c>
      <c r="AR1013" s="35">
        <v>0</v>
      </c>
    </row>
    <row r="1014" spans="43:44" x14ac:dyDescent="0.25">
      <c r="AQ1014" s="136" t="s">
        <v>54</v>
      </c>
      <c r="AR1014" s="35">
        <v>0</v>
      </c>
    </row>
    <row r="1015" spans="43:44" x14ac:dyDescent="0.25">
      <c r="AQ1015" s="138" t="s">
        <v>54</v>
      </c>
      <c r="AR1015" s="35">
        <v>0</v>
      </c>
    </row>
    <row r="1016" spans="43:44" x14ac:dyDescent="0.25">
      <c r="AQ1016" s="139" t="s">
        <v>60</v>
      </c>
      <c r="AR1016" s="35">
        <v>0</v>
      </c>
    </row>
    <row r="1017" spans="43:44" x14ac:dyDescent="0.25">
      <c r="AQ1017" s="16">
        <v>255</v>
      </c>
      <c r="AR1017" s="35">
        <v>0</v>
      </c>
    </row>
    <row r="1018" spans="43:44" x14ac:dyDescent="0.25">
      <c r="AQ1018" s="136" t="s">
        <v>54</v>
      </c>
      <c r="AR1018" s="35">
        <v>0</v>
      </c>
    </row>
    <row r="1019" spans="43:44" x14ac:dyDescent="0.25">
      <c r="AQ1019" s="138" t="s">
        <v>54</v>
      </c>
      <c r="AR1019" s="35">
        <v>0</v>
      </c>
    </row>
    <row r="1020" spans="43:44" x14ac:dyDescent="0.25">
      <c r="AQ1020" s="139" t="s">
        <v>60</v>
      </c>
      <c r="AR1020" s="35">
        <v>0</v>
      </c>
    </row>
    <row r="1021" spans="43:44" x14ac:dyDescent="0.25">
      <c r="AQ1021" s="16">
        <v>256</v>
      </c>
      <c r="AR1021" s="35">
        <v>0</v>
      </c>
    </row>
    <row r="1022" spans="43:44" x14ac:dyDescent="0.25">
      <c r="AQ1022" s="136" t="s">
        <v>54</v>
      </c>
      <c r="AR1022" s="35">
        <v>0</v>
      </c>
    </row>
    <row r="1023" spans="43:44" x14ac:dyDescent="0.25">
      <c r="AQ1023" s="138" t="s">
        <v>54</v>
      </c>
      <c r="AR1023" s="35">
        <v>0</v>
      </c>
    </row>
    <row r="1024" spans="43:44" x14ac:dyDescent="0.25">
      <c r="AQ1024" s="139" t="s">
        <v>60</v>
      </c>
      <c r="AR1024" s="35">
        <v>0</v>
      </c>
    </row>
    <row r="1025" spans="43:44" x14ac:dyDescent="0.25">
      <c r="AQ1025" s="16">
        <v>257</v>
      </c>
      <c r="AR1025" s="35">
        <v>0</v>
      </c>
    </row>
    <row r="1026" spans="43:44" x14ac:dyDescent="0.25">
      <c r="AQ1026" s="136" t="s">
        <v>54</v>
      </c>
      <c r="AR1026" s="35">
        <v>0</v>
      </c>
    </row>
    <row r="1027" spans="43:44" x14ac:dyDescent="0.25">
      <c r="AQ1027" s="138" t="s">
        <v>54</v>
      </c>
      <c r="AR1027" s="35">
        <v>0</v>
      </c>
    </row>
    <row r="1028" spans="43:44" x14ac:dyDescent="0.25">
      <c r="AQ1028" s="139" t="s">
        <v>60</v>
      </c>
      <c r="AR1028" s="35">
        <v>0</v>
      </c>
    </row>
    <row r="1029" spans="43:44" x14ac:dyDescent="0.25">
      <c r="AQ1029" s="16">
        <v>258</v>
      </c>
      <c r="AR1029" s="35">
        <v>0</v>
      </c>
    </row>
    <row r="1030" spans="43:44" x14ac:dyDescent="0.25">
      <c r="AQ1030" s="136" t="s">
        <v>54</v>
      </c>
      <c r="AR1030" s="35">
        <v>0</v>
      </c>
    </row>
    <row r="1031" spans="43:44" x14ac:dyDescent="0.25">
      <c r="AQ1031" s="138" t="s">
        <v>54</v>
      </c>
      <c r="AR1031" s="35">
        <v>0</v>
      </c>
    </row>
    <row r="1032" spans="43:44" x14ac:dyDescent="0.25">
      <c r="AQ1032" s="139" t="s">
        <v>60</v>
      </c>
      <c r="AR1032" s="35">
        <v>0</v>
      </c>
    </row>
    <row r="1033" spans="43:44" x14ac:dyDescent="0.25">
      <c r="AQ1033" s="16">
        <v>259</v>
      </c>
      <c r="AR1033" s="35">
        <v>0</v>
      </c>
    </row>
    <row r="1034" spans="43:44" x14ac:dyDescent="0.25">
      <c r="AQ1034" s="136" t="s">
        <v>54</v>
      </c>
      <c r="AR1034" s="35">
        <v>0</v>
      </c>
    </row>
    <row r="1035" spans="43:44" x14ac:dyDescent="0.25">
      <c r="AQ1035" s="138" t="s">
        <v>54</v>
      </c>
      <c r="AR1035" s="35">
        <v>0</v>
      </c>
    </row>
    <row r="1036" spans="43:44" x14ac:dyDescent="0.25">
      <c r="AQ1036" s="139" t="s">
        <v>60</v>
      </c>
      <c r="AR1036" s="35">
        <v>0</v>
      </c>
    </row>
    <row r="1037" spans="43:44" x14ac:dyDescent="0.25">
      <c r="AQ1037" s="16">
        <v>260</v>
      </c>
      <c r="AR1037" s="35">
        <v>0</v>
      </c>
    </row>
    <row r="1038" spans="43:44" x14ac:dyDescent="0.25">
      <c r="AQ1038" s="136" t="s">
        <v>54</v>
      </c>
      <c r="AR1038" s="35">
        <v>0</v>
      </c>
    </row>
    <row r="1039" spans="43:44" x14ac:dyDescent="0.25">
      <c r="AQ1039" s="138" t="s">
        <v>54</v>
      </c>
      <c r="AR1039" s="35">
        <v>0</v>
      </c>
    </row>
    <row r="1040" spans="43:44" x14ac:dyDescent="0.25">
      <c r="AQ1040" s="139" t="s">
        <v>60</v>
      </c>
      <c r="AR1040" s="35">
        <v>0</v>
      </c>
    </row>
    <row r="1041" spans="43:44" x14ac:dyDescent="0.25">
      <c r="AQ1041" s="16">
        <v>261</v>
      </c>
      <c r="AR1041" s="35">
        <v>0</v>
      </c>
    </row>
    <row r="1042" spans="43:44" x14ac:dyDescent="0.25">
      <c r="AQ1042" s="136" t="s">
        <v>54</v>
      </c>
      <c r="AR1042" s="35">
        <v>0</v>
      </c>
    </row>
    <row r="1043" spans="43:44" x14ac:dyDescent="0.25">
      <c r="AQ1043" s="138" t="s">
        <v>54</v>
      </c>
      <c r="AR1043" s="35">
        <v>0</v>
      </c>
    </row>
    <row r="1044" spans="43:44" x14ac:dyDescent="0.25">
      <c r="AQ1044" s="139" t="s">
        <v>60</v>
      </c>
      <c r="AR1044" s="35">
        <v>0</v>
      </c>
    </row>
    <row r="1045" spans="43:44" x14ac:dyDescent="0.25">
      <c r="AQ1045" s="16">
        <v>262</v>
      </c>
      <c r="AR1045" s="35">
        <v>0</v>
      </c>
    </row>
    <row r="1046" spans="43:44" x14ac:dyDescent="0.25">
      <c r="AQ1046" s="136" t="s">
        <v>54</v>
      </c>
      <c r="AR1046" s="35">
        <v>0</v>
      </c>
    </row>
    <row r="1047" spans="43:44" x14ac:dyDescent="0.25">
      <c r="AQ1047" s="138" t="s">
        <v>54</v>
      </c>
      <c r="AR1047" s="35">
        <v>0</v>
      </c>
    </row>
    <row r="1048" spans="43:44" x14ac:dyDescent="0.25">
      <c r="AQ1048" s="139" t="s">
        <v>60</v>
      </c>
      <c r="AR1048" s="35">
        <v>0</v>
      </c>
    </row>
    <row r="1049" spans="43:44" x14ac:dyDescent="0.25">
      <c r="AQ1049" s="16">
        <v>263</v>
      </c>
      <c r="AR1049" s="35">
        <v>0</v>
      </c>
    </row>
    <row r="1050" spans="43:44" x14ac:dyDescent="0.25">
      <c r="AQ1050" s="136" t="s">
        <v>54</v>
      </c>
      <c r="AR1050" s="35">
        <v>0</v>
      </c>
    </row>
    <row r="1051" spans="43:44" x14ac:dyDescent="0.25">
      <c r="AQ1051" s="138" t="s">
        <v>54</v>
      </c>
      <c r="AR1051" s="35">
        <v>0</v>
      </c>
    </row>
    <row r="1052" spans="43:44" x14ac:dyDescent="0.25">
      <c r="AQ1052" s="139" t="s">
        <v>60</v>
      </c>
      <c r="AR1052" s="35">
        <v>0</v>
      </c>
    </row>
    <row r="1053" spans="43:44" x14ac:dyDescent="0.25">
      <c r="AQ1053" s="16">
        <v>264</v>
      </c>
      <c r="AR1053" s="35">
        <v>0</v>
      </c>
    </row>
    <row r="1054" spans="43:44" x14ac:dyDescent="0.25">
      <c r="AQ1054" s="136" t="s">
        <v>54</v>
      </c>
      <c r="AR1054" s="35">
        <v>0</v>
      </c>
    </row>
    <row r="1055" spans="43:44" x14ac:dyDescent="0.25">
      <c r="AQ1055" s="138" t="s">
        <v>54</v>
      </c>
      <c r="AR1055" s="35">
        <v>0</v>
      </c>
    </row>
    <row r="1056" spans="43:44" x14ac:dyDescent="0.25">
      <c r="AQ1056" s="139" t="s">
        <v>60</v>
      </c>
      <c r="AR1056" s="35">
        <v>0</v>
      </c>
    </row>
    <row r="1057" spans="43:44" x14ac:dyDescent="0.25">
      <c r="AQ1057" s="16">
        <v>265</v>
      </c>
      <c r="AR1057" s="35">
        <v>0</v>
      </c>
    </row>
    <row r="1058" spans="43:44" x14ac:dyDescent="0.25">
      <c r="AQ1058" s="136" t="s">
        <v>54</v>
      </c>
      <c r="AR1058" s="35">
        <v>0</v>
      </c>
    </row>
    <row r="1059" spans="43:44" x14ac:dyDescent="0.25">
      <c r="AQ1059" s="138" t="s">
        <v>54</v>
      </c>
      <c r="AR1059" s="35">
        <v>0</v>
      </c>
    </row>
    <row r="1060" spans="43:44" x14ac:dyDescent="0.25">
      <c r="AQ1060" s="139" t="s">
        <v>60</v>
      </c>
      <c r="AR1060" s="35">
        <v>0</v>
      </c>
    </row>
    <row r="1061" spans="43:44" x14ac:dyDescent="0.25">
      <c r="AQ1061" s="16">
        <v>266</v>
      </c>
      <c r="AR1061" s="35">
        <v>0</v>
      </c>
    </row>
    <row r="1062" spans="43:44" x14ac:dyDescent="0.25">
      <c r="AQ1062" s="136" t="s">
        <v>54</v>
      </c>
      <c r="AR1062" s="35">
        <v>0</v>
      </c>
    </row>
    <row r="1063" spans="43:44" x14ac:dyDescent="0.25">
      <c r="AQ1063" s="138" t="s">
        <v>54</v>
      </c>
      <c r="AR1063" s="35">
        <v>0</v>
      </c>
    </row>
    <row r="1064" spans="43:44" x14ac:dyDescent="0.25">
      <c r="AQ1064" s="139" t="s">
        <v>60</v>
      </c>
      <c r="AR1064" s="35">
        <v>0</v>
      </c>
    </row>
    <row r="1065" spans="43:44" x14ac:dyDescent="0.25">
      <c r="AQ1065" s="16">
        <v>267</v>
      </c>
      <c r="AR1065" s="35">
        <v>0</v>
      </c>
    </row>
    <row r="1066" spans="43:44" x14ac:dyDescent="0.25">
      <c r="AQ1066" s="136" t="s">
        <v>54</v>
      </c>
      <c r="AR1066" s="35">
        <v>0</v>
      </c>
    </row>
    <row r="1067" spans="43:44" x14ac:dyDescent="0.25">
      <c r="AQ1067" s="138" t="s">
        <v>54</v>
      </c>
      <c r="AR1067" s="35">
        <v>0</v>
      </c>
    </row>
    <row r="1068" spans="43:44" x14ac:dyDescent="0.25">
      <c r="AQ1068" s="139" t="s">
        <v>60</v>
      </c>
      <c r="AR1068" s="35">
        <v>0</v>
      </c>
    </row>
    <row r="1069" spans="43:44" x14ac:dyDescent="0.25">
      <c r="AQ1069" s="16">
        <v>268</v>
      </c>
      <c r="AR1069" s="35">
        <v>0</v>
      </c>
    </row>
    <row r="1070" spans="43:44" x14ac:dyDescent="0.25">
      <c r="AQ1070" s="136" t="s">
        <v>54</v>
      </c>
      <c r="AR1070" s="35">
        <v>0</v>
      </c>
    </row>
    <row r="1071" spans="43:44" x14ac:dyDescent="0.25">
      <c r="AQ1071" s="138" t="s">
        <v>54</v>
      </c>
      <c r="AR1071" s="35">
        <v>0</v>
      </c>
    </row>
    <row r="1072" spans="43:44" x14ac:dyDescent="0.25">
      <c r="AQ1072" s="139" t="s">
        <v>60</v>
      </c>
      <c r="AR1072" s="35">
        <v>0</v>
      </c>
    </row>
    <row r="1073" spans="43:44" x14ac:dyDescent="0.25">
      <c r="AQ1073" s="16">
        <v>269</v>
      </c>
      <c r="AR1073" s="35">
        <v>0</v>
      </c>
    </row>
    <row r="1074" spans="43:44" x14ac:dyDescent="0.25">
      <c r="AQ1074" s="136" t="s">
        <v>54</v>
      </c>
      <c r="AR1074" s="35">
        <v>0</v>
      </c>
    </row>
    <row r="1075" spans="43:44" x14ac:dyDescent="0.25">
      <c r="AQ1075" s="138" t="s">
        <v>54</v>
      </c>
      <c r="AR1075" s="35">
        <v>0</v>
      </c>
    </row>
    <row r="1076" spans="43:44" x14ac:dyDescent="0.25">
      <c r="AQ1076" s="139" t="s">
        <v>60</v>
      </c>
      <c r="AR1076" s="35">
        <v>0</v>
      </c>
    </row>
    <row r="1077" spans="43:44" x14ac:dyDescent="0.25">
      <c r="AQ1077" s="16">
        <v>270</v>
      </c>
      <c r="AR1077" s="35">
        <v>0</v>
      </c>
    </row>
    <row r="1078" spans="43:44" x14ac:dyDescent="0.25">
      <c r="AQ1078" s="136" t="s">
        <v>54</v>
      </c>
      <c r="AR1078" s="35">
        <v>0</v>
      </c>
    </row>
    <row r="1079" spans="43:44" x14ac:dyDescent="0.25">
      <c r="AQ1079" s="138" t="s">
        <v>54</v>
      </c>
      <c r="AR1079" s="35">
        <v>0</v>
      </c>
    </row>
    <row r="1080" spans="43:44" x14ac:dyDescent="0.25">
      <c r="AQ1080" s="139" t="s">
        <v>60</v>
      </c>
      <c r="AR1080" s="35">
        <v>0</v>
      </c>
    </row>
    <row r="1081" spans="43:44" x14ac:dyDescent="0.25">
      <c r="AQ1081" s="16">
        <v>271</v>
      </c>
      <c r="AR1081" s="35">
        <v>0</v>
      </c>
    </row>
    <row r="1082" spans="43:44" x14ac:dyDescent="0.25">
      <c r="AQ1082" s="136" t="s">
        <v>54</v>
      </c>
      <c r="AR1082" s="35">
        <v>0</v>
      </c>
    </row>
    <row r="1083" spans="43:44" x14ac:dyDescent="0.25">
      <c r="AQ1083" s="138" t="s">
        <v>54</v>
      </c>
      <c r="AR1083" s="35">
        <v>0</v>
      </c>
    </row>
    <row r="1084" spans="43:44" x14ac:dyDescent="0.25">
      <c r="AQ1084" s="139" t="s">
        <v>60</v>
      </c>
      <c r="AR1084" s="35">
        <v>0</v>
      </c>
    </row>
    <row r="1085" spans="43:44" x14ac:dyDescent="0.25">
      <c r="AQ1085" s="16">
        <v>272</v>
      </c>
      <c r="AR1085" s="35">
        <v>0</v>
      </c>
    </row>
    <row r="1086" spans="43:44" x14ac:dyDescent="0.25">
      <c r="AQ1086" s="136" t="s">
        <v>54</v>
      </c>
      <c r="AR1086" s="35">
        <v>0</v>
      </c>
    </row>
    <row r="1087" spans="43:44" x14ac:dyDescent="0.25">
      <c r="AQ1087" s="138" t="s">
        <v>54</v>
      </c>
      <c r="AR1087" s="35">
        <v>0</v>
      </c>
    </row>
    <row r="1088" spans="43:44" x14ac:dyDescent="0.25">
      <c r="AQ1088" s="139" t="s">
        <v>60</v>
      </c>
      <c r="AR1088" s="35">
        <v>0</v>
      </c>
    </row>
    <row r="1089" spans="43:44" x14ac:dyDescent="0.25">
      <c r="AQ1089" s="16">
        <v>273</v>
      </c>
      <c r="AR1089" s="35">
        <v>0</v>
      </c>
    </row>
    <row r="1090" spans="43:44" x14ac:dyDescent="0.25">
      <c r="AQ1090" s="136" t="s">
        <v>54</v>
      </c>
      <c r="AR1090" s="35">
        <v>0</v>
      </c>
    </row>
    <row r="1091" spans="43:44" x14ac:dyDescent="0.25">
      <c r="AQ1091" s="138" t="s">
        <v>54</v>
      </c>
      <c r="AR1091" s="35">
        <v>0</v>
      </c>
    </row>
    <row r="1092" spans="43:44" x14ac:dyDescent="0.25">
      <c r="AQ1092" s="139" t="s">
        <v>60</v>
      </c>
      <c r="AR1092" s="35">
        <v>0</v>
      </c>
    </row>
    <row r="1093" spans="43:44" x14ac:dyDescent="0.25">
      <c r="AQ1093" s="16">
        <v>274</v>
      </c>
      <c r="AR1093" s="35">
        <v>0</v>
      </c>
    </row>
    <row r="1094" spans="43:44" x14ac:dyDescent="0.25">
      <c r="AQ1094" s="136" t="s">
        <v>54</v>
      </c>
      <c r="AR1094" s="35">
        <v>0</v>
      </c>
    </row>
    <row r="1095" spans="43:44" x14ac:dyDescent="0.25">
      <c r="AQ1095" s="138" t="s">
        <v>54</v>
      </c>
      <c r="AR1095" s="35">
        <v>0</v>
      </c>
    </row>
    <row r="1096" spans="43:44" x14ac:dyDescent="0.25">
      <c r="AQ1096" s="139" t="s">
        <v>60</v>
      </c>
      <c r="AR1096" s="35">
        <v>0</v>
      </c>
    </row>
    <row r="1097" spans="43:44" x14ac:dyDescent="0.25">
      <c r="AQ1097" s="16">
        <v>275</v>
      </c>
      <c r="AR1097" s="35">
        <v>0</v>
      </c>
    </row>
    <row r="1098" spans="43:44" x14ac:dyDescent="0.25">
      <c r="AQ1098" s="136" t="s">
        <v>54</v>
      </c>
      <c r="AR1098" s="35">
        <v>0</v>
      </c>
    </row>
    <row r="1099" spans="43:44" x14ac:dyDescent="0.25">
      <c r="AQ1099" s="138" t="s">
        <v>54</v>
      </c>
      <c r="AR1099" s="35">
        <v>0</v>
      </c>
    </row>
    <row r="1100" spans="43:44" x14ac:dyDescent="0.25">
      <c r="AQ1100" s="139" t="s">
        <v>60</v>
      </c>
      <c r="AR1100" s="35">
        <v>0</v>
      </c>
    </row>
    <row r="1101" spans="43:44" x14ac:dyDescent="0.25">
      <c r="AQ1101" s="16">
        <v>276</v>
      </c>
      <c r="AR1101" s="35">
        <v>0</v>
      </c>
    </row>
    <row r="1102" spans="43:44" x14ac:dyDescent="0.25">
      <c r="AQ1102" s="136" t="s">
        <v>54</v>
      </c>
      <c r="AR1102" s="35">
        <v>0</v>
      </c>
    </row>
    <row r="1103" spans="43:44" x14ac:dyDescent="0.25">
      <c r="AQ1103" s="138" t="s">
        <v>54</v>
      </c>
      <c r="AR1103" s="35">
        <v>0</v>
      </c>
    </row>
    <row r="1104" spans="43:44" x14ac:dyDescent="0.25">
      <c r="AQ1104" s="139" t="s">
        <v>60</v>
      </c>
      <c r="AR1104" s="35">
        <v>0</v>
      </c>
    </row>
    <row r="1105" spans="43:44" x14ac:dyDescent="0.25">
      <c r="AQ1105" s="16">
        <v>277</v>
      </c>
      <c r="AR1105" s="35">
        <v>0</v>
      </c>
    </row>
    <row r="1106" spans="43:44" x14ac:dyDescent="0.25">
      <c r="AQ1106" s="136" t="s">
        <v>54</v>
      </c>
      <c r="AR1106" s="35">
        <v>0</v>
      </c>
    </row>
    <row r="1107" spans="43:44" x14ac:dyDescent="0.25">
      <c r="AQ1107" s="138" t="s">
        <v>54</v>
      </c>
      <c r="AR1107" s="35">
        <v>0</v>
      </c>
    </row>
    <row r="1108" spans="43:44" x14ac:dyDescent="0.25">
      <c r="AQ1108" s="139" t="s">
        <v>60</v>
      </c>
      <c r="AR1108" s="35">
        <v>0</v>
      </c>
    </row>
    <row r="1109" spans="43:44" x14ac:dyDescent="0.25">
      <c r="AQ1109" s="16">
        <v>278</v>
      </c>
      <c r="AR1109" s="35">
        <v>0</v>
      </c>
    </row>
    <row r="1110" spans="43:44" x14ac:dyDescent="0.25">
      <c r="AQ1110" s="136" t="s">
        <v>54</v>
      </c>
      <c r="AR1110" s="35">
        <v>0</v>
      </c>
    </row>
    <row r="1111" spans="43:44" x14ac:dyDescent="0.25">
      <c r="AQ1111" s="138" t="s">
        <v>54</v>
      </c>
      <c r="AR1111" s="35">
        <v>0</v>
      </c>
    </row>
    <row r="1112" spans="43:44" x14ac:dyDescent="0.25">
      <c r="AQ1112" s="139" t="s">
        <v>60</v>
      </c>
      <c r="AR1112" s="35">
        <v>0</v>
      </c>
    </row>
    <row r="1113" spans="43:44" x14ac:dyDescent="0.25">
      <c r="AQ1113" s="16">
        <v>279</v>
      </c>
      <c r="AR1113" s="35">
        <v>0</v>
      </c>
    </row>
    <row r="1114" spans="43:44" x14ac:dyDescent="0.25">
      <c r="AQ1114" s="136" t="s">
        <v>54</v>
      </c>
      <c r="AR1114" s="35">
        <v>0</v>
      </c>
    </row>
    <row r="1115" spans="43:44" x14ac:dyDescent="0.25">
      <c r="AQ1115" s="138" t="s">
        <v>54</v>
      </c>
      <c r="AR1115" s="35">
        <v>0</v>
      </c>
    </row>
    <row r="1116" spans="43:44" x14ac:dyDescent="0.25">
      <c r="AQ1116" s="139" t="s">
        <v>60</v>
      </c>
      <c r="AR1116" s="35">
        <v>0</v>
      </c>
    </row>
    <row r="1117" spans="43:44" x14ac:dyDescent="0.25">
      <c r="AQ1117" s="16">
        <v>280</v>
      </c>
      <c r="AR1117" s="35">
        <v>0</v>
      </c>
    </row>
    <row r="1118" spans="43:44" x14ac:dyDescent="0.25">
      <c r="AQ1118" s="136" t="s">
        <v>54</v>
      </c>
      <c r="AR1118" s="35">
        <v>0</v>
      </c>
    </row>
    <row r="1119" spans="43:44" x14ac:dyDescent="0.25">
      <c r="AQ1119" s="138" t="s">
        <v>54</v>
      </c>
      <c r="AR1119" s="35">
        <v>0</v>
      </c>
    </row>
    <row r="1120" spans="43:44" x14ac:dyDescent="0.25">
      <c r="AQ1120" s="139" t="s">
        <v>60</v>
      </c>
      <c r="AR1120" s="35">
        <v>0</v>
      </c>
    </row>
    <row r="1121" spans="43:44" x14ac:dyDescent="0.25">
      <c r="AQ1121" s="16">
        <v>281</v>
      </c>
      <c r="AR1121" s="35">
        <v>0</v>
      </c>
    </row>
    <row r="1122" spans="43:44" x14ac:dyDescent="0.25">
      <c r="AQ1122" s="136" t="s">
        <v>54</v>
      </c>
      <c r="AR1122" s="35">
        <v>0</v>
      </c>
    </row>
    <row r="1123" spans="43:44" x14ac:dyDescent="0.25">
      <c r="AQ1123" s="138" t="s">
        <v>54</v>
      </c>
      <c r="AR1123" s="35">
        <v>0</v>
      </c>
    </row>
    <row r="1124" spans="43:44" x14ac:dyDescent="0.25">
      <c r="AQ1124" s="139" t="s">
        <v>60</v>
      </c>
      <c r="AR1124" s="35">
        <v>0</v>
      </c>
    </row>
    <row r="1125" spans="43:44" x14ac:dyDescent="0.25">
      <c r="AQ1125" s="16">
        <v>282</v>
      </c>
      <c r="AR1125" s="35">
        <v>0</v>
      </c>
    </row>
    <row r="1126" spans="43:44" x14ac:dyDescent="0.25">
      <c r="AQ1126" s="136" t="s">
        <v>54</v>
      </c>
      <c r="AR1126" s="35">
        <v>0</v>
      </c>
    </row>
    <row r="1127" spans="43:44" x14ac:dyDescent="0.25">
      <c r="AQ1127" s="138" t="s">
        <v>54</v>
      </c>
      <c r="AR1127" s="35">
        <v>0</v>
      </c>
    </row>
    <row r="1128" spans="43:44" x14ac:dyDescent="0.25">
      <c r="AQ1128" s="139" t="s">
        <v>60</v>
      </c>
      <c r="AR1128" s="35">
        <v>0</v>
      </c>
    </row>
    <row r="1129" spans="43:44" x14ac:dyDescent="0.25">
      <c r="AQ1129" s="16">
        <v>283</v>
      </c>
      <c r="AR1129" s="35">
        <v>0</v>
      </c>
    </row>
    <row r="1130" spans="43:44" x14ac:dyDescent="0.25">
      <c r="AQ1130" s="136" t="s">
        <v>54</v>
      </c>
      <c r="AR1130" s="35">
        <v>0</v>
      </c>
    </row>
    <row r="1131" spans="43:44" x14ac:dyDescent="0.25">
      <c r="AQ1131" s="138" t="s">
        <v>54</v>
      </c>
      <c r="AR1131" s="35">
        <v>0</v>
      </c>
    </row>
    <row r="1132" spans="43:44" x14ac:dyDescent="0.25">
      <c r="AQ1132" s="139" t="s">
        <v>60</v>
      </c>
      <c r="AR1132" s="35">
        <v>0</v>
      </c>
    </row>
    <row r="1133" spans="43:44" x14ac:dyDescent="0.25">
      <c r="AQ1133" s="16">
        <v>284</v>
      </c>
      <c r="AR1133" s="35">
        <v>0</v>
      </c>
    </row>
    <row r="1134" spans="43:44" x14ac:dyDescent="0.25">
      <c r="AQ1134" s="136" t="s">
        <v>54</v>
      </c>
      <c r="AR1134" s="35">
        <v>0</v>
      </c>
    </row>
    <row r="1135" spans="43:44" x14ac:dyDescent="0.25">
      <c r="AQ1135" s="138" t="s">
        <v>54</v>
      </c>
      <c r="AR1135" s="35">
        <v>0</v>
      </c>
    </row>
    <row r="1136" spans="43:44" x14ac:dyDescent="0.25">
      <c r="AQ1136" s="139" t="s">
        <v>60</v>
      </c>
      <c r="AR1136" s="35">
        <v>0</v>
      </c>
    </row>
    <row r="1137" spans="43:44" x14ac:dyDescent="0.25">
      <c r="AQ1137" s="16">
        <v>285</v>
      </c>
      <c r="AR1137" s="35">
        <v>0</v>
      </c>
    </row>
    <row r="1138" spans="43:44" x14ac:dyDescent="0.25">
      <c r="AQ1138" s="136" t="s">
        <v>54</v>
      </c>
      <c r="AR1138" s="35">
        <v>0</v>
      </c>
    </row>
    <row r="1139" spans="43:44" x14ac:dyDescent="0.25">
      <c r="AQ1139" s="138" t="s">
        <v>54</v>
      </c>
      <c r="AR1139" s="35">
        <v>0</v>
      </c>
    </row>
    <row r="1140" spans="43:44" x14ac:dyDescent="0.25">
      <c r="AQ1140" s="139" t="s">
        <v>60</v>
      </c>
      <c r="AR1140" s="35">
        <v>0</v>
      </c>
    </row>
    <row r="1141" spans="43:44" x14ac:dyDescent="0.25">
      <c r="AQ1141" s="16">
        <v>286</v>
      </c>
      <c r="AR1141" s="35">
        <v>0</v>
      </c>
    </row>
    <row r="1142" spans="43:44" x14ac:dyDescent="0.25">
      <c r="AQ1142" s="136" t="s">
        <v>54</v>
      </c>
      <c r="AR1142" s="35">
        <v>0</v>
      </c>
    </row>
    <row r="1143" spans="43:44" x14ac:dyDescent="0.25">
      <c r="AQ1143" s="138" t="s">
        <v>54</v>
      </c>
      <c r="AR1143" s="35">
        <v>0</v>
      </c>
    </row>
    <row r="1144" spans="43:44" x14ac:dyDescent="0.25">
      <c r="AQ1144" s="139" t="s">
        <v>60</v>
      </c>
      <c r="AR1144" s="35">
        <v>0</v>
      </c>
    </row>
    <row r="1145" spans="43:44" x14ac:dyDescent="0.25">
      <c r="AQ1145" s="16">
        <v>287</v>
      </c>
      <c r="AR1145" s="35">
        <v>0</v>
      </c>
    </row>
    <row r="1146" spans="43:44" x14ac:dyDescent="0.25">
      <c r="AQ1146" s="136" t="s">
        <v>54</v>
      </c>
      <c r="AR1146" s="35">
        <v>0</v>
      </c>
    </row>
    <row r="1147" spans="43:44" x14ac:dyDescent="0.25">
      <c r="AQ1147" s="138" t="s">
        <v>54</v>
      </c>
      <c r="AR1147" s="35">
        <v>0</v>
      </c>
    </row>
    <row r="1148" spans="43:44" x14ac:dyDescent="0.25">
      <c r="AQ1148" s="139" t="s">
        <v>60</v>
      </c>
      <c r="AR1148" s="35">
        <v>0</v>
      </c>
    </row>
    <row r="1149" spans="43:44" x14ac:dyDescent="0.25">
      <c r="AQ1149" s="16">
        <v>288</v>
      </c>
      <c r="AR1149" s="35">
        <v>0</v>
      </c>
    </row>
    <row r="1150" spans="43:44" x14ac:dyDescent="0.25">
      <c r="AQ1150" s="136" t="s">
        <v>54</v>
      </c>
      <c r="AR1150" s="35">
        <v>0</v>
      </c>
    </row>
    <row r="1151" spans="43:44" x14ac:dyDescent="0.25">
      <c r="AQ1151" s="138" t="s">
        <v>54</v>
      </c>
      <c r="AR1151" s="35">
        <v>0</v>
      </c>
    </row>
    <row r="1152" spans="43:44" x14ac:dyDescent="0.25">
      <c r="AQ1152" s="139" t="s">
        <v>60</v>
      </c>
      <c r="AR1152" s="35">
        <v>0</v>
      </c>
    </row>
    <row r="1153" spans="43:44" x14ac:dyDescent="0.25">
      <c r="AQ1153" s="16">
        <v>289</v>
      </c>
      <c r="AR1153" s="35">
        <v>0</v>
      </c>
    </row>
    <row r="1154" spans="43:44" x14ac:dyDescent="0.25">
      <c r="AQ1154" s="136" t="s">
        <v>54</v>
      </c>
      <c r="AR1154" s="35">
        <v>0</v>
      </c>
    </row>
    <row r="1155" spans="43:44" x14ac:dyDescent="0.25">
      <c r="AQ1155" s="138" t="s">
        <v>54</v>
      </c>
      <c r="AR1155" s="35">
        <v>0</v>
      </c>
    </row>
    <row r="1156" spans="43:44" x14ac:dyDescent="0.25">
      <c r="AQ1156" s="139" t="s">
        <v>60</v>
      </c>
      <c r="AR1156" s="35">
        <v>0</v>
      </c>
    </row>
    <row r="1157" spans="43:44" x14ac:dyDescent="0.25">
      <c r="AQ1157" s="16">
        <v>290</v>
      </c>
      <c r="AR1157" s="35">
        <v>0</v>
      </c>
    </row>
    <row r="1158" spans="43:44" x14ac:dyDescent="0.25">
      <c r="AQ1158" s="136" t="s">
        <v>54</v>
      </c>
      <c r="AR1158" s="35">
        <v>0</v>
      </c>
    </row>
    <row r="1159" spans="43:44" x14ac:dyDescent="0.25">
      <c r="AQ1159" s="138" t="s">
        <v>54</v>
      </c>
      <c r="AR1159" s="35">
        <v>0</v>
      </c>
    </row>
    <row r="1160" spans="43:44" x14ac:dyDescent="0.25">
      <c r="AQ1160" s="139" t="s">
        <v>60</v>
      </c>
      <c r="AR1160" s="35">
        <v>0</v>
      </c>
    </row>
    <row r="1161" spans="43:44" x14ac:dyDescent="0.25">
      <c r="AQ1161" s="16">
        <v>291</v>
      </c>
      <c r="AR1161" s="35">
        <v>0</v>
      </c>
    </row>
    <row r="1162" spans="43:44" x14ac:dyDescent="0.25">
      <c r="AQ1162" s="136" t="s">
        <v>54</v>
      </c>
      <c r="AR1162" s="35">
        <v>0</v>
      </c>
    </row>
    <row r="1163" spans="43:44" x14ac:dyDescent="0.25">
      <c r="AQ1163" s="138" t="s">
        <v>54</v>
      </c>
      <c r="AR1163" s="35">
        <v>0</v>
      </c>
    </row>
    <row r="1164" spans="43:44" x14ac:dyDescent="0.25">
      <c r="AQ1164" s="139" t="s">
        <v>60</v>
      </c>
      <c r="AR1164" s="35">
        <v>0</v>
      </c>
    </row>
    <row r="1165" spans="43:44" x14ac:dyDescent="0.25">
      <c r="AQ1165" s="16">
        <v>292</v>
      </c>
      <c r="AR1165" s="35">
        <v>0</v>
      </c>
    </row>
    <row r="1166" spans="43:44" x14ac:dyDescent="0.25">
      <c r="AQ1166" s="136" t="s">
        <v>54</v>
      </c>
      <c r="AR1166" s="35">
        <v>0</v>
      </c>
    </row>
    <row r="1167" spans="43:44" x14ac:dyDescent="0.25">
      <c r="AQ1167" s="138" t="s">
        <v>54</v>
      </c>
      <c r="AR1167" s="35">
        <v>0</v>
      </c>
    </row>
    <row r="1168" spans="43:44" x14ac:dyDescent="0.25">
      <c r="AQ1168" s="139" t="s">
        <v>60</v>
      </c>
      <c r="AR1168" s="35">
        <v>0</v>
      </c>
    </row>
    <row r="1169" spans="43:44" x14ac:dyDescent="0.25">
      <c r="AQ1169" s="16">
        <v>293</v>
      </c>
      <c r="AR1169" s="35">
        <v>0</v>
      </c>
    </row>
    <row r="1170" spans="43:44" x14ac:dyDescent="0.25">
      <c r="AQ1170" s="136" t="s">
        <v>54</v>
      </c>
      <c r="AR1170" s="35">
        <v>0</v>
      </c>
    </row>
    <row r="1171" spans="43:44" x14ac:dyDescent="0.25">
      <c r="AQ1171" s="138" t="s">
        <v>54</v>
      </c>
      <c r="AR1171" s="35">
        <v>0</v>
      </c>
    </row>
    <row r="1172" spans="43:44" x14ac:dyDescent="0.25">
      <c r="AQ1172" s="139" t="s">
        <v>60</v>
      </c>
      <c r="AR1172" s="35">
        <v>0</v>
      </c>
    </row>
    <row r="1173" spans="43:44" x14ac:dyDescent="0.25">
      <c r="AQ1173" s="16">
        <v>294</v>
      </c>
      <c r="AR1173" s="35">
        <v>0</v>
      </c>
    </row>
    <row r="1174" spans="43:44" x14ac:dyDescent="0.25">
      <c r="AQ1174" s="136" t="s">
        <v>54</v>
      </c>
      <c r="AR1174" s="35">
        <v>0</v>
      </c>
    </row>
    <row r="1175" spans="43:44" x14ac:dyDescent="0.25">
      <c r="AQ1175" s="138" t="s">
        <v>54</v>
      </c>
      <c r="AR1175" s="35">
        <v>0</v>
      </c>
    </row>
    <row r="1176" spans="43:44" x14ac:dyDescent="0.25">
      <c r="AQ1176" s="139" t="s">
        <v>60</v>
      </c>
      <c r="AR1176" s="35">
        <v>0</v>
      </c>
    </row>
    <row r="1177" spans="43:44" x14ac:dyDescent="0.25">
      <c r="AQ1177" s="16">
        <v>295</v>
      </c>
      <c r="AR1177" s="35">
        <v>0</v>
      </c>
    </row>
    <row r="1178" spans="43:44" x14ac:dyDescent="0.25">
      <c r="AQ1178" s="136" t="s">
        <v>54</v>
      </c>
      <c r="AR1178" s="35">
        <v>0</v>
      </c>
    </row>
    <row r="1179" spans="43:44" x14ac:dyDescent="0.25">
      <c r="AQ1179" s="138" t="s">
        <v>54</v>
      </c>
      <c r="AR1179" s="35">
        <v>0</v>
      </c>
    </row>
    <row r="1180" spans="43:44" x14ac:dyDescent="0.25">
      <c r="AQ1180" s="139" t="s">
        <v>60</v>
      </c>
      <c r="AR1180" s="35">
        <v>0</v>
      </c>
    </row>
    <row r="1181" spans="43:44" x14ac:dyDescent="0.25">
      <c r="AQ1181" s="16">
        <v>296</v>
      </c>
      <c r="AR1181" s="35">
        <v>0</v>
      </c>
    </row>
    <row r="1182" spans="43:44" x14ac:dyDescent="0.25">
      <c r="AQ1182" s="136" t="s">
        <v>54</v>
      </c>
      <c r="AR1182" s="35">
        <v>0</v>
      </c>
    </row>
    <row r="1183" spans="43:44" x14ac:dyDescent="0.25">
      <c r="AQ1183" s="138" t="s">
        <v>54</v>
      </c>
      <c r="AR1183" s="35">
        <v>0</v>
      </c>
    </row>
    <row r="1184" spans="43:44" x14ac:dyDescent="0.25">
      <c r="AQ1184" s="139" t="s">
        <v>60</v>
      </c>
      <c r="AR1184" s="35">
        <v>0</v>
      </c>
    </row>
    <row r="1185" spans="43:44" x14ac:dyDescent="0.25">
      <c r="AQ1185" s="16">
        <v>297</v>
      </c>
      <c r="AR1185" s="35">
        <v>0</v>
      </c>
    </row>
    <row r="1186" spans="43:44" x14ac:dyDescent="0.25">
      <c r="AQ1186" s="136" t="s">
        <v>54</v>
      </c>
      <c r="AR1186" s="35">
        <v>0</v>
      </c>
    </row>
    <row r="1187" spans="43:44" x14ac:dyDescent="0.25">
      <c r="AQ1187" s="138" t="s">
        <v>54</v>
      </c>
      <c r="AR1187" s="35">
        <v>0</v>
      </c>
    </row>
    <row r="1188" spans="43:44" x14ac:dyDescent="0.25">
      <c r="AQ1188" s="139" t="s">
        <v>60</v>
      </c>
      <c r="AR1188" s="35">
        <v>0</v>
      </c>
    </row>
    <row r="1189" spans="43:44" x14ac:dyDescent="0.25">
      <c r="AQ1189" s="16">
        <v>298</v>
      </c>
      <c r="AR1189" s="35">
        <v>0</v>
      </c>
    </row>
    <row r="1190" spans="43:44" x14ac:dyDescent="0.25">
      <c r="AQ1190" s="136" t="s">
        <v>54</v>
      </c>
      <c r="AR1190" s="35">
        <v>0</v>
      </c>
    </row>
    <row r="1191" spans="43:44" x14ac:dyDescent="0.25">
      <c r="AQ1191" s="138" t="s">
        <v>54</v>
      </c>
      <c r="AR1191" s="35">
        <v>0</v>
      </c>
    </row>
    <row r="1192" spans="43:44" x14ac:dyDescent="0.25">
      <c r="AQ1192" s="139" t="s">
        <v>60</v>
      </c>
      <c r="AR1192" s="35">
        <v>0</v>
      </c>
    </row>
    <row r="1193" spans="43:44" x14ac:dyDescent="0.25">
      <c r="AQ1193" s="16">
        <v>299</v>
      </c>
      <c r="AR1193" s="35">
        <v>0</v>
      </c>
    </row>
    <row r="1194" spans="43:44" x14ac:dyDescent="0.25">
      <c r="AQ1194" s="136" t="s">
        <v>54</v>
      </c>
      <c r="AR1194" s="35">
        <v>0</v>
      </c>
    </row>
    <row r="1195" spans="43:44" x14ac:dyDescent="0.25">
      <c r="AQ1195" s="138" t="s">
        <v>54</v>
      </c>
      <c r="AR1195" s="35">
        <v>0</v>
      </c>
    </row>
    <row r="1196" spans="43:44" x14ac:dyDescent="0.25">
      <c r="AQ1196" s="139" t="s">
        <v>60</v>
      </c>
      <c r="AR1196" s="35">
        <v>0</v>
      </c>
    </row>
    <row r="1197" spans="43:44" x14ac:dyDescent="0.25">
      <c r="AQ1197" s="16">
        <v>300</v>
      </c>
      <c r="AR1197" s="35">
        <v>0</v>
      </c>
    </row>
    <row r="1198" spans="43:44" x14ac:dyDescent="0.25">
      <c r="AQ1198" s="136" t="s">
        <v>54</v>
      </c>
      <c r="AR1198" s="35">
        <v>0</v>
      </c>
    </row>
    <row r="1199" spans="43:44" x14ac:dyDescent="0.25">
      <c r="AQ1199" s="138" t="s">
        <v>54</v>
      </c>
      <c r="AR1199" s="35">
        <v>0</v>
      </c>
    </row>
    <row r="1200" spans="43:44" x14ac:dyDescent="0.25">
      <c r="AQ1200" s="139" t="s">
        <v>60</v>
      </c>
      <c r="AR1200" s="35">
        <v>0</v>
      </c>
    </row>
    <row r="1201" spans="43:44" x14ac:dyDescent="0.25">
      <c r="AQ1201" s="16">
        <v>301</v>
      </c>
      <c r="AR1201" s="35">
        <v>0</v>
      </c>
    </row>
    <row r="1202" spans="43:44" x14ac:dyDescent="0.25">
      <c r="AQ1202" s="136" t="s">
        <v>54</v>
      </c>
      <c r="AR1202" s="35">
        <v>0</v>
      </c>
    </row>
    <row r="1203" spans="43:44" x14ac:dyDescent="0.25">
      <c r="AQ1203" s="138" t="s">
        <v>54</v>
      </c>
      <c r="AR1203" s="35">
        <v>0</v>
      </c>
    </row>
    <row r="1204" spans="43:44" x14ac:dyDescent="0.25">
      <c r="AQ1204" s="139" t="s">
        <v>60</v>
      </c>
      <c r="AR1204" s="35">
        <v>0</v>
      </c>
    </row>
    <row r="1205" spans="43:44" x14ac:dyDescent="0.25">
      <c r="AQ1205" s="16">
        <v>302</v>
      </c>
      <c r="AR1205" s="35">
        <v>0</v>
      </c>
    </row>
    <row r="1206" spans="43:44" x14ac:dyDescent="0.25">
      <c r="AQ1206" s="136" t="s">
        <v>54</v>
      </c>
      <c r="AR1206" s="35">
        <v>0</v>
      </c>
    </row>
    <row r="1207" spans="43:44" x14ac:dyDescent="0.25">
      <c r="AQ1207" s="138" t="s">
        <v>54</v>
      </c>
      <c r="AR1207" s="35">
        <v>0</v>
      </c>
    </row>
    <row r="1208" spans="43:44" x14ac:dyDescent="0.25">
      <c r="AQ1208" s="139" t="s">
        <v>60</v>
      </c>
      <c r="AR1208" s="35">
        <v>0</v>
      </c>
    </row>
    <row r="1209" spans="43:44" x14ac:dyDescent="0.25">
      <c r="AQ1209" s="16">
        <v>303</v>
      </c>
      <c r="AR1209" s="35">
        <v>0</v>
      </c>
    </row>
    <row r="1210" spans="43:44" x14ac:dyDescent="0.25">
      <c r="AQ1210" s="136" t="s">
        <v>54</v>
      </c>
      <c r="AR1210" s="35">
        <v>0</v>
      </c>
    </row>
    <row r="1211" spans="43:44" x14ac:dyDescent="0.25">
      <c r="AQ1211" s="138" t="s">
        <v>54</v>
      </c>
      <c r="AR1211" s="35">
        <v>0</v>
      </c>
    </row>
    <row r="1212" spans="43:44" x14ac:dyDescent="0.25">
      <c r="AQ1212" s="139" t="s">
        <v>60</v>
      </c>
      <c r="AR1212" s="35">
        <v>0</v>
      </c>
    </row>
    <row r="1213" spans="43:44" x14ac:dyDescent="0.25">
      <c r="AQ1213" s="16">
        <v>304</v>
      </c>
      <c r="AR1213" s="35">
        <v>0</v>
      </c>
    </row>
    <row r="1214" spans="43:44" x14ac:dyDescent="0.25">
      <c r="AQ1214" s="136" t="s">
        <v>54</v>
      </c>
      <c r="AR1214" s="35">
        <v>0</v>
      </c>
    </row>
    <row r="1215" spans="43:44" x14ac:dyDescent="0.25">
      <c r="AQ1215" s="138" t="s">
        <v>54</v>
      </c>
      <c r="AR1215" s="35">
        <v>0</v>
      </c>
    </row>
    <row r="1216" spans="43:44" x14ac:dyDescent="0.25">
      <c r="AQ1216" s="139" t="s">
        <v>60</v>
      </c>
      <c r="AR1216" s="35">
        <v>0</v>
      </c>
    </row>
    <row r="1217" spans="43:44" x14ac:dyDescent="0.25">
      <c r="AQ1217" s="16">
        <v>305</v>
      </c>
      <c r="AR1217" s="35">
        <v>0</v>
      </c>
    </row>
    <row r="1218" spans="43:44" x14ac:dyDescent="0.25">
      <c r="AQ1218" s="136" t="s">
        <v>54</v>
      </c>
      <c r="AR1218" s="35">
        <v>0</v>
      </c>
    </row>
    <row r="1219" spans="43:44" x14ac:dyDescent="0.25">
      <c r="AQ1219" s="138" t="s">
        <v>54</v>
      </c>
      <c r="AR1219" s="35">
        <v>0</v>
      </c>
    </row>
    <row r="1220" spans="43:44" x14ac:dyDescent="0.25">
      <c r="AQ1220" s="139" t="s">
        <v>60</v>
      </c>
      <c r="AR1220" s="35">
        <v>0</v>
      </c>
    </row>
    <row r="1221" spans="43:44" x14ac:dyDescent="0.25">
      <c r="AQ1221" s="16">
        <v>306</v>
      </c>
      <c r="AR1221" s="35">
        <v>0</v>
      </c>
    </row>
    <row r="1222" spans="43:44" x14ac:dyDescent="0.25">
      <c r="AQ1222" s="136" t="s">
        <v>54</v>
      </c>
      <c r="AR1222" s="35">
        <v>0</v>
      </c>
    </row>
    <row r="1223" spans="43:44" x14ac:dyDescent="0.25">
      <c r="AQ1223" s="138" t="s">
        <v>54</v>
      </c>
      <c r="AR1223" s="35">
        <v>0</v>
      </c>
    </row>
    <row r="1224" spans="43:44" x14ac:dyDescent="0.25">
      <c r="AQ1224" s="139" t="s">
        <v>60</v>
      </c>
      <c r="AR1224" s="35">
        <v>0</v>
      </c>
    </row>
    <row r="1225" spans="43:44" x14ac:dyDescent="0.25">
      <c r="AQ1225" s="16">
        <v>307</v>
      </c>
      <c r="AR1225" s="35">
        <v>0</v>
      </c>
    </row>
    <row r="1226" spans="43:44" x14ac:dyDescent="0.25">
      <c r="AQ1226" s="136" t="s">
        <v>54</v>
      </c>
      <c r="AR1226" s="35">
        <v>0</v>
      </c>
    </row>
    <row r="1227" spans="43:44" x14ac:dyDescent="0.25">
      <c r="AQ1227" s="138" t="s">
        <v>54</v>
      </c>
      <c r="AR1227" s="35">
        <v>0</v>
      </c>
    </row>
    <row r="1228" spans="43:44" x14ac:dyDescent="0.25">
      <c r="AQ1228" s="139" t="s">
        <v>60</v>
      </c>
      <c r="AR1228" s="35">
        <v>0</v>
      </c>
    </row>
    <row r="1229" spans="43:44" x14ac:dyDescent="0.25">
      <c r="AQ1229" s="16">
        <v>308</v>
      </c>
      <c r="AR1229" s="35">
        <v>0</v>
      </c>
    </row>
    <row r="1230" spans="43:44" x14ac:dyDescent="0.25">
      <c r="AQ1230" s="136" t="s">
        <v>54</v>
      </c>
      <c r="AR1230" s="35">
        <v>0</v>
      </c>
    </row>
    <row r="1231" spans="43:44" x14ac:dyDescent="0.25">
      <c r="AQ1231" s="138" t="s">
        <v>54</v>
      </c>
      <c r="AR1231" s="35">
        <v>0</v>
      </c>
    </row>
    <row r="1232" spans="43:44" x14ac:dyDescent="0.25">
      <c r="AQ1232" s="139" t="s">
        <v>60</v>
      </c>
      <c r="AR1232" s="35">
        <v>0</v>
      </c>
    </row>
    <row r="1233" spans="43:44" x14ac:dyDescent="0.25">
      <c r="AQ1233" s="16">
        <v>309</v>
      </c>
      <c r="AR1233" s="35">
        <v>0</v>
      </c>
    </row>
    <row r="1234" spans="43:44" x14ac:dyDescent="0.25">
      <c r="AQ1234" s="136" t="s">
        <v>54</v>
      </c>
      <c r="AR1234" s="35">
        <v>0</v>
      </c>
    </row>
    <row r="1235" spans="43:44" x14ac:dyDescent="0.25">
      <c r="AQ1235" s="138" t="s">
        <v>54</v>
      </c>
      <c r="AR1235" s="35">
        <v>0</v>
      </c>
    </row>
    <row r="1236" spans="43:44" x14ac:dyDescent="0.25">
      <c r="AQ1236" s="139" t="s">
        <v>60</v>
      </c>
      <c r="AR1236" s="35">
        <v>0</v>
      </c>
    </row>
    <row r="1237" spans="43:44" x14ac:dyDescent="0.25">
      <c r="AQ1237" s="16">
        <v>310</v>
      </c>
      <c r="AR1237" s="35">
        <v>0</v>
      </c>
    </row>
    <row r="1238" spans="43:44" x14ac:dyDescent="0.25">
      <c r="AQ1238" s="136" t="s">
        <v>54</v>
      </c>
      <c r="AR1238" s="35">
        <v>0</v>
      </c>
    </row>
    <row r="1239" spans="43:44" x14ac:dyDescent="0.25">
      <c r="AQ1239" s="138" t="s">
        <v>54</v>
      </c>
      <c r="AR1239" s="35">
        <v>0</v>
      </c>
    </row>
    <row r="1240" spans="43:44" x14ac:dyDescent="0.25">
      <c r="AQ1240" s="139" t="s">
        <v>60</v>
      </c>
      <c r="AR1240" s="35">
        <v>0</v>
      </c>
    </row>
    <row r="1241" spans="43:44" x14ac:dyDescent="0.25">
      <c r="AQ1241" s="16">
        <v>311</v>
      </c>
      <c r="AR1241" s="35">
        <v>0</v>
      </c>
    </row>
    <row r="1242" spans="43:44" x14ac:dyDescent="0.25">
      <c r="AQ1242" s="136" t="s">
        <v>54</v>
      </c>
      <c r="AR1242" s="35">
        <v>0</v>
      </c>
    </row>
    <row r="1243" spans="43:44" x14ac:dyDescent="0.25">
      <c r="AQ1243" s="138" t="s">
        <v>54</v>
      </c>
      <c r="AR1243" s="35">
        <v>0</v>
      </c>
    </row>
    <row r="1244" spans="43:44" x14ac:dyDescent="0.25">
      <c r="AQ1244" s="139" t="s">
        <v>60</v>
      </c>
      <c r="AR1244" s="35">
        <v>0</v>
      </c>
    </row>
    <row r="1245" spans="43:44" x14ac:dyDescent="0.25">
      <c r="AQ1245" s="16">
        <v>312</v>
      </c>
      <c r="AR1245" s="35">
        <v>0</v>
      </c>
    </row>
    <row r="1246" spans="43:44" x14ac:dyDescent="0.25">
      <c r="AQ1246" s="136" t="s">
        <v>54</v>
      </c>
      <c r="AR1246" s="35">
        <v>0</v>
      </c>
    </row>
    <row r="1247" spans="43:44" x14ac:dyDescent="0.25">
      <c r="AQ1247" s="138" t="s">
        <v>54</v>
      </c>
      <c r="AR1247" s="35">
        <v>0</v>
      </c>
    </row>
    <row r="1248" spans="43:44" x14ac:dyDescent="0.25">
      <c r="AQ1248" s="139" t="s">
        <v>60</v>
      </c>
      <c r="AR1248" s="35">
        <v>0</v>
      </c>
    </row>
    <row r="1249" spans="43:44" x14ac:dyDescent="0.25">
      <c r="AQ1249" s="16">
        <v>313</v>
      </c>
      <c r="AR1249" s="35">
        <v>0</v>
      </c>
    </row>
    <row r="1250" spans="43:44" x14ac:dyDescent="0.25">
      <c r="AQ1250" s="136" t="s">
        <v>54</v>
      </c>
      <c r="AR1250" s="35">
        <v>0</v>
      </c>
    </row>
    <row r="1251" spans="43:44" x14ac:dyDescent="0.25">
      <c r="AQ1251" s="138" t="s">
        <v>54</v>
      </c>
      <c r="AR1251" s="35">
        <v>0</v>
      </c>
    </row>
    <row r="1252" spans="43:44" x14ac:dyDescent="0.25">
      <c r="AQ1252" s="139" t="s">
        <v>60</v>
      </c>
      <c r="AR1252" s="35">
        <v>0</v>
      </c>
    </row>
    <row r="1253" spans="43:44" x14ac:dyDescent="0.25">
      <c r="AQ1253" s="16">
        <v>314</v>
      </c>
      <c r="AR1253" s="35">
        <v>0</v>
      </c>
    </row>
    <row r="1254" spans="43:44" x14ac:dyDescent="0.25">
      <c r="AQ1254" s="136" t="s">
        <v>54</v>
      </c>
      <c r="AR1254" s="35">
        <v>0</v>
      </c>
    </row>
    <row r="1255" spans="43:44" x14ac:dyDescent="0.25">
      <c r="AQ1255" s="138" t="s">
        <v>54</v>
      </c>
      <c r="AR1255" s="35">
        <v>0</v>
      </c>
    </row>
    <row r="1256" spans="43:44" x14ac:dyDescent="0.25">
      <c r="AQ1256" s="139" t="s">
        <v>60</v>
      </c>
      <c r="AR1256" s="35">
        <v>0</v>
      </c>
    </row>
    <row r="1257" spans="43:44" x14ac:dyDescent="0.25">
      <c r="AQ1257" s="16">
        <v>315</v>
      </c>
      <c r="AR1257" s="35">
        <v>0</v>
      </c>
    </row>
    <row r="1258" spans="43:44" x14ac:dyDescent="0.25">
      <c r="AQ1258" s="136" t="s">
        <v>54</v>
      </c>
      <c r="AR1258" s="35">
        <v>0</v>
      </c>
    </row>
    <row r="1259" spans="43:44" x14ac:dyDescent="0.25">
      <c r="AQ1259" s="138" t="s">
        <v>54</v>
      </c>
      <c r="AR1259" s="35">
        <v>0</v>
      </c>
    </row>
    <row r="1260" spans="43:44" x14ac:dyDescent="0.25">
      <c r="AQ1260" s="139" t="s">
        <v>60</v>
      </c>
      <c r="AR1260" s="35">
        <v>0</v>
      </c>
    </row>
    <row r="1261" spans="43:44" x14ac:dyDescent="0.25">
      <c r="AQ1261" s="16">
        <v>316</v>
      </c>
      <c r="AR1261" s="35">
        <v>0</v>
      </c>
    </row>
    <row r="1262" spans="43:44" x14ac:dyDescent="0.25">
      <c r="AQ1262" s="136" t="s">
        <v>54</v>
      </c>
      <c r="AR1262" s="35">
        <v>0</v>
      </c>
    </row>
    <row r="1263" spans="43:44" x14ac:dyDescent="0.25">
      <c r="AQ1263" s="138" t="s">
        <v>54</v>
      </c>
      <c r="AR1263" s="35">
        <v>0</v>
      </c>
    </row>
    <row r="1264" spans="43:44" x14ac:dyDescent="0.25">
      <c r="AQ1264" s="139" t="s">
        <v>60</v>
      </c>
      <c r="AR1264" s="35">
        <v>0</v>
      </c>
    </row>
    <row r="1265" spans="43:44" x14ac:dyDescent="0.25">
      <c r="AQ1265" s="16">
        <v>317</v>
      </c>
      <c r="AR1265" s="35">
        <v>0</v>
      </c>
    </row>
    <row r="1266" spans="43:44" x14ac:dyDescent="0.25">
      <c r="AQ1266" s="136" t="s">
        <v>54</v>
      </c>
      <c r="AR1266" s="35">
        <v>0</v>
      </c>
    </row>
    <row r="1267" spans="43:44" x14ac:dyDescent="0.25">
      <c r="AQ1267" s="138" t="s">
        <v>54</v>
      </c>
      <c r="AR1267" s="35">
        <v>0</v>
      </c>
    </row>
    <row r="1268" spans="43:44" x14ac:dyDescent="0.25">
      <c r="AQ1268" s="139" t="s">
        <v>60</v>
      </c>
      <c r="AR1268" s="35">
        <v>0</v>
      </c>
    </row>
    <row r="1269" spans="43:44" x14ac:dyDescent="0.25">
      <c r="AQ1269" s="16">
        <v>318</v>
      </c>
      <c r="AR1269" s="35">
        <v>0</v>
      </c>
    </row>
    <row r="1270" spans="43:44" x14ac:dyDescent="0.25">
      <c r="AQ1270" s="136" t="s">
        <v>54</v>
      </c>
      <c r="AR1270" s="35">
        <v>0</v>
      </c>
    </row>
    <row r="1271" spans="43:44" x14ac:dyDescent="0.25">
      <c r="AQ1271" s="138" t="s">
        <v>54</v>
      </c>
      <c r="AR1271" s="35">
        <v>0</v>
      </c>
    </row>
    <row r="1272" spans="43:44" x14ac:dyDescent="0.25">
      <c r="AQ1272" s="139" t="s">
        <v>60</v>
      </c>
      <c r="AR1272" s="35">
        <v>0</v>
      </c>
    </row>
    <row r="1273" spans="43:44" x14ac:dyDescent="0.25">
      <c r="AQ1273" s="16">
        <v>319</v>
      </c>
      <c r="AR1273" s="35">
        <v>0</v>
      </c>
    </row>
    <row r="1274" spans="43:44" x14ac:dyDescent="0.25">
      <c r="AQ1274" s="136" t="s">
        <v>54</v>
      </c>
      <c r="AR1274" s="35">
        <v>0</v>
      </c>
    </row>
    <row r="1275" spans="43:44" x14ac:dyDescent="0.25">
      <c r="AQ1275" s="138" t="s">
        <v>54</v>
      </c>
      <c r="AR1275" s="35">
        <v>0</v>
      </c>
    </row>
    <row r="1276" spans="43:44" x14ac:dyDescent="0.25">
      <c r="AQ1276" s="139" t="s">
        <v>60</v>
      </c>
      <c r="AR1276" s="35">
        <v>0</v>
      </c>
    </row>
    <row r="1277" spans="43:44" x14ac:dyDescent="0.25">
      <c r="AQ1277" s="16">
        <v>320</v>
      </c>
      <c r="AR1277" s="35">
        <v>0</v>
      </c>
    </row>
    <row r="1278" spans="43:44" x14ac:dyDescent="0.25">
      <c r="AQ1278" s="136" t="s">
        <v>54</v>
      </c>
      <c r="AR1278" s="35">
        <v>0</v>
      </c>
    </row>
    <row r="1279" spans="43:44" x14ac:dyDescent="0.25">
      <c r="AQ1279" s="138" t="s">
        <v>54</v>
      </c>
      <c r="AR1279" s="35">
        <v>0</v>
      </c>
    </row>
    <row r="1280" spans="43:44" x14ac:dyDescent="0.25">
      <c r="AQ1280" s="139" t="s">
        <v>60</v>
      </c>
      <c r="AR1280" s="35">
        <v>0</v>
      </c>
    </row>
    <row r="1281" spans="43:44" x14ac:dyDescent="0.25">
      <c r="AQ1281" s="16">
        <v>321</v>
      </c>
      <c r="AR1281" s="35">
        <v>0</v>
      </c>
    </row>
    <row r="1282" spans="43:44" x14ac:dyDescent="0.25">
      <c r="AQ1282" s="136" t="s">
        <v>54</v>
      </c>
      <c r="AR1282" s="35">
        <v>0</v>
      </c>
    </row>
    <row r="1283" spans="43:44" x14ac:dyDescent="0.25">
      <c r="AQ1283" s="138" t="s">
        <v>54</v>
      </c>
      <c r="AR1283" s="35">
        <v>0</v>
      </c>
    </row>
    <row r="1284" spans="43:44" x14ac:dyDescent="0.25">
      <c r="AQ1284" s="139" t="s">
        <v>60</v>
      </c>
      <c r="AR1284" s="35">
        <v>0</v>
      </c>
    </row>
    <row r="1285" spans="43:44" x14ac:dyDescent="0.25">
      <c r="AQ1285" s="16">
        <v>322</v>
      </c>
      <c r="AR1285" s="35">
        <v>0</v>
      </c>
    </row>
    <row r="1286" spans="43:44" x14ac:dyDescent="0.25">
      <c r="AQ1286" s="136" t="s">
        <v>54</v>
      </c>
      <c r="AR1286" s="35">
        <v>0</v>
      </c>
    </row>
    <row r="1287" spans="43:44" x14ac:dyDescent="0.25">
      <c r="AQ1287" s="138" t="s">
        <v>54</v>
      </c>
      <c r="AR1287" s="35">
        <v>0</v>
      </c>
    </row>
    <row r="1288" spans="43:44" x14ac:dyDescent="0.25">
      <c r="AQ1288" s="139" t="s">
        <v>60</v>
      </c>
      <c r="AR1288" s="35">
        <v>0</v>
      </c>
    </row>
    <row r="1289" spans="43:44" x14ac:dyDescent="0.25">
      <c r="AQ1289" s="16">
        <v>323</v>
      </c>
      <c r="AR1289" s="35">
        <v>0</v>
      </c>
    </row>
    <row r="1290" spans="43:44" x14ac:dyDescent="0.25">
      <c r="AQ1290" s="136" t="s">
        <v>54</v>
      </c>
      <c r="AR1290" s="35">
        <v>0</v>
      </c>
    </row>
    <row r="1291" spans="43:44" x14ac:dyDescent="0.25">
      <c r="AQ1291" s="138" t="s">
        <v>54</v>
      </c>
      <c r="AR1291" s="35">
        <v>0</v>
      </c>
    </row>
    <row r="1292" spans="43:44" x14ac:dyDescent="0.25">
      <c r="AQ1292" s="139" t="s">
        <v>60</v>
      </c>
      <c r="AR1292" s="35">
        <v>0</v>
      </c>
    </row>
    <row r="1293" spans="43:44" x14ac:dyDescent="0.25">
      <c r="AQ1293" s="16">
        <v>324</v>
      </c>
      <c r="AR1293" s="35">
        <v>0</v>
      </c>
    </row>
    <row r="1294" spans="43:44" x14ac:dyDescent="0.25">
      <c r="AQ1294" s="136" t="s">
        <v>54</v>
      </c>
      <c r="AR1294" s="35">
        <v>0</v>
      </c>
    </row>
    <row r="1295" spans="43:44" x14ac:dyDescent="0.25">
      <c r="AQ1295" s="138" t="s">
        <v>54</v>
      </c>
      <c r="AR1295" s="35">
        <v>0</v>
      </c>
    </row>
    <row r="1296" spans="43:44" x14ac:dyDescent="0.25">
      <c r="AQ1296" s="139" t="s">
        <v>60</v>
      </c>
      <c r="AR1296" s="35">
        <v>0</v>
      </c>
    </row>
    <row r="1297" spans="43:44" x14ac:dyDescent="0.25">
      <c r="AQ1297" s="16">
        <v>325</v>
      </c>
      <c r="AR1297" s="35">
        <v>0</v>
      </c>
    </row>
    <row r="1298" spans="43:44" x14ac:dyDescent="0.25">
      <c r="AQ1298" s="136" t="s">
        <v>54</v>
      </c>
      <c r="AR1298" s="35">
        <v>0</v>
      </c>
    </row>
    <row r="1299" spans="43:44" x14ac:dyDescent="0.25">
      <c r="AQ1299" s="138" t="s">
        <v>54</v>
      </c>
      <c r="AR1299" s="35">
        <v>0</v>
      </c>
    </row>
    <row r="1300" spans="43:44" x14ac:dyDescent="0.25">
      <c r="AQ1300" s="139" t="s">
        <v>60</v>
      </c>
      <c r="AR1300" s="35">
        <v>0</v>
      </c>
    </row>
    <row r="1301" spans="43:44" x14ac:dyDescent="0.25">
      <c r="AQ1301" s="16">
        <v>326</v>
      </c>
      <c r="AR1301" s="35">
        <v>0</v>
      </c>
    </row>
    <row r="1302" spans="43:44" x14ac:dyDescent="0.25">
      <c r="AQ1302" s="136" t="s">
        <v>54</v>
      </c>
      <c r="AR1302" s="35">
        <v>0</v>
      </c>
    </row>
    <row r="1303" spans="43:44" x14ac:dyDescent="0.25">
      <c r="AQ1303" s="138" t="s">
        <v>54</v>
      </c>
      <c r="AR1303" s="35">
        <v>0</v>
      </c>
    </row>
    <row r="1304" spans="43:44" x14ac:dyDescent="0.25">
      <c r="AQ1304" s="139" t="s">
        <v>60</v>
      </c>
      <c r="AR1304" s="35">
        <v>0</v>
      </c>
    </row>
    <row r="1305" spans="43:44" x14ac:dyDescent="0.25">
      <c r="AQ1305" s="16">
        <v>327</v>
      </c>
      <c r="AR1305" s="35">
        <v>0</v>
      </c>
    </row>
    <row r="1306" spans="43:44" x14ac:dyDescent="0.25">
      <c r="AQ1306" s="136" t="s">
        <v>54</v>
      </c>
      <c r="AR1306" s="35">
        <v>0</v>
      </c>
    </row>
    <row r="1307" spans="43:44" x14ac:dyDescent="0.25">
      <c r="AQ1307" s="138" t="s">
        <v>54</v>
      </c>
      <c r="AR1307" s="35">
        <v>0</v>
      </c>
    </row>
    <row r="1308" spans="43:44" x14ac:dyDescent="0.25">
      <c r="AQ1308" s="139" t="s">
        <v>60</v>
      </c>
      <c r="AR1308" s="35">
        <v>0</v>
      </c>
    </row>
    <row r="1309" spans="43:44" x14ac:dyDescent="0.25">
      <c r="AQ1309" s="16">
        <v>328</v>
      </c>
      <c r="AR1309" s="35">
        <v>0</v>
      </c>
    </row>
    <row r="1310" spans="43:44" x14ac:dyDescent="0.25">
      <c r="AQ1310" s="136" t="s">
        <v>54</v>
      </c>
      <c r="AR1310" s="35">
        <v>0</v>
      </c>
    </row>
    <row r="1311" spans="43:44" x14ac:dyDescent="0.25">
      <c r="AQ1311" s="138" t="s">
        <v>54</v>
      </c>
      <c r="AR1311" s="35">
        <v>0</v>
      </c>
    </row>
    <row r="1312" spans="43:44" x14ac:dyDescent="0.25">
      <c r="AQ1312" s="139" t="s">
        <v>60</v>
      </c>
      <c r="AR1312" s="35">
        <v>0</v>
      </c>
    </row>
    <row r="1313" spans="43:44" x14ac:dyDescent="0.25">
      <c r="AQ1313" s="16">
        <v>329</v>
      </c>
      <c r="AR1313" s="35">
        <v>0</v>
      </c>
    </row>
    <row r="1314" spans="43:44" x14ac:dyDescent="0.25">
      <c r="AQ1314" s="136" t="s">
        <v>54</v>
      </c>
      <c r="AR1314" s="35">
        <v>0</v>
      </c>
    </row>
    <row r="1315" spans="43:44" x14ac:dyDescent="0.25">
      <c r="AQ1315" s="138" t="s">
        <v>54</v>
      </c>
      <c r="AR1315" s="35">
        <v>0</v>
      </c>
    </row>
    <row r="1316" spans="43:44" x14ac:dyDescent="0.25">
      <c r="AQ1316" s="139" t="s">
        <v>60</v>
      </c>
      <c r="AR1316" s="35">
        <v>0</v>
      </c>
    </row>
    <row r="1317" spans="43:44" x14ac:dyDescent="0.25">
      <c r="AQ1317" s="16">
        <v>330</v>
      </c>
      <c r="AR1317" s="35">
        <v>0</v>
      </c>
    </row>
    <row r="1318" spans="43:44" x14ac:dyDescent="0.25">
      <c r="AQ1318" s="136" t="s">
        <v>54</v>
      </c>
      <c r="AR1318" s="35">
        <v>0</v>
      </c>
    </row>
    <row r="1319" spans="43:44" x14ac:dyDescent="0.25">
      <c r="AQ1319" s="138" t="s">
        <v>54</v>
      </c>
      <c r="AR1319" s="35">
        <v>0</v>
      </c>
    </row>
    <row r="1320" spans="43:44" x14ac:dyDescent="0.25">
      <c r="AQ1320" s="139" t="s">
        <v>60</v>
      </c>
      <c r="AR1320" s="35">
        <v>0</v>
      </c>
    </row>
    <row r="1321" spans="43:44" x14ac:dyDescent="0.25">
      <c r="AQ1321" s="16">
        <v>331</v>
      </c>
      <c r="AR1321" s="35">
        <v>0</v>
      </c>
    </row>
    <row r="1322" spans="43:44" x14ac:dyDescent="0.25">
      <c r="AQ1322" s="136" t="s">
        <v>54</v>
      </c>
      <c r="AR1322" s="35">
        <v>0</v>
      </c>
    </row>
    <row r="1323" spans="43:44" x14ac:dyDescent="0.25">
      <c r="AQ1323" s="138" t="s">
        <v>54</v>
      </c>
      <c r="AR1323" s="35">
        <v>0</v>
      </c>
    </row>
    <row r="1324" spans="43:44" x14ac:dyDescent="0.25">
      <c r="AQ1324" s="139" t="s">
        <v>60</v>
      </c>
      <c r="AR1324" s="35">
        <v>0</v>
      </c>
    </row>
    <row r="1325" spans="43:44" x14ac:dyDescent="0.25">
      <c r="AQ1325" s="16">
        <v>332</v>
      </c>
      <c r="AR1325" s="35">
        <v>0</v>
      </c>
    </row>
    <row r="1326" spans="43:44" x14ac:dyDescent="0.25">
      <c r="AQ1326" s="136" t="s">
        <v>54</v>
      </c>
      <c r="AR1326" s="35">
        <v>0</v>
      </c>
    </row>
    <row r="1327" spans="43:44" x14ac:dyDescent="0.25">
      <c r="AQ1327" s="138" t="s">
        <v>54</v>
      </c>
      <c r="AR1327" s="35">
        <v>0</v>
      </c>
    </row>
    <row r="1328" spans="43:44" x14ac:dyDescent="0.25">
      <c r="AQ1328" s="139" t="s">
        <v>60</v>
      </c>
      <c r="AR1328" s="35">
        <v>0</v>
      </c>
    </row>
    <row r="1329" spans="43:44" x14ac:dyDescent="0.25">
      <c r="AQ1329" s="16">
        <v>333</v>
      </c>
      <c r="AR1329" s="35">
        <v>0</v>
      </c>
    </row>
    <row r="1330" spans="43:44" x14ac:dyDescent="0.25">
      <c r="AQ1330" s="136" t="s">
        <v>54</v>
      </c>
      <c r="AR1330" s="35">
        <v>0</v>
      </c>
    </row>
    <row r="1331" spans="43:44" x14ac:dyDescent="0.25">
      <c r="AQ1331" s="138" t="s">
        <v>54</v>
      </c>
      <c r="AR1331" s="35">
        <v>0</v>
      </c>
    </row>
    <row r="1332" spans="43:44" x14ac:dyDescent="0.25">
      <c r="AQ1332" s="139" t="s">
        <v>60</v>
      </c>
      <c r="AR1332" s="35">
        <v>0</v>
      </c>
    </row>
    <row r="1333" spans="43:44" x14ac:dyDescent="0.25">
      <c r="AQ1333" s="16">
        <v>334</v>
      </c>
      <c r="AR1333" s="35">
        <v>0</v>
      </c>
    </row>
    <row r="1334" spans="43:44" x14ac:dyDescent="0.25">
      <c r="AQ1334" s="136" t="s">
        <v>54</v>
      </c>
      <c r="AR1334" s="35">
        <v>0</v>
      </c>
    </row>
    <row r="1335" spans="43:44" x14ac:dyDescent="0.25">
      <c r="AQ1335" s="138" t="s">
        <v>54</v>
      </c>
      <c r="AR1335" s="35">
        <v>0</v>
      </c>
    </row>
    <row r="1336" spans="43:44" x14ac:dyDescent="0.25">
      <c r="AQ1336" s="139" t="s">
        <v>60</v>
      </c>
      <c r="AR1336" s="35">
        <v>0</v>
      </c>
    </row>
    <row r="1337" spans="43:44" x14ac:dyDescent="0.25">
      <c r="AQ1337" s="16">
        <v>335</v>
      </c>
      <c r="AR1337" s="35">
        <v>0</v>
      </c>
    </row>
    <row r="1338" spans="43:44" x14ac:dyDescent="0.25">
      <c r="AQ1338" s="136" t="s">
        <v>54</v>
      </c>
      <c r="AR1338" s="35">
        <v>0</v>
      </c>
    </row>
    <row r="1339" spans="43:44" x14ac:dyDescent="0.25">
      <c r="AQ1339" s="138" t="s">
        <v>54</v>
      </c>
      <c r="AR1339" s="35">
        <v>0</v>
      </c>
    </row>
    <row r="1340" spans="43:44" x14ac:dyDescent="0.25">
      <c r="AQ1340" s="139" t="s">
        <v>60</v>
      </c>
      <c r="AR1340" s="35">
        <v>0</v>
      </c>
    </row>
    <row r="1341" spans="43:44" x14ac:dyDescent="0.25">
      <c r="AQ1341" s="16">
        <v>336</v>
      </c>
      <c r="AR1341" s="35">
        <v>0</v>
      </c>
    </row>
    <row r="1342" spans="43:44" x14ac:dyDescent="0.25">
      <c r="AQ1342" s="136" t="s">
        <v>54</v>
      </c>
      <c r="AR1342" s="35">
        <v>0</v>
      </c>
    </row>
    <row r="1343" spans="43:44" x14ac:dyDescent="0.25">
      <c r="AQ1343" s="138" t="s">
        <v>54</v>
      </c>
      <c r="AR1343" s="35">
        <v>0</v>
      </c>
    </row>
    <row r="1344" spans="43:44" x14ac:dyDescent="0.25">
      <c r="AQ1344" s="139" t="s">
        <v>60</v>
      </c>
      <c r="AR1344" s="35">
        <v>0</v>
      </c>
    </row>
    <row r="1345" spans="43:44" x14ac:dyDescent="0.25">
      <c r="AQ1345" s="16">
        <v>337</v>
      </c>
      <c r="AR1345" s="35">
        <v>0</v>
      </c>
    </row>
    <row r="1346" spans="43:44" x14ac:dyDescent="0.25">
      <c r="AQ1346" s="136" t="s">
        <v>54</v>
      </c>
      <c r="AR1346" s="35">
        <v>0</v>
      </c>
    </row>
    <row r="1347" spans="43:44" x14ac:dyDescent="0.25">
      <c r="AQ1347" s="138" t="s">
        <v>54</v>
      </c>
      <c r="AR1347" s="35">
        <v>0</v>
      </c>
    </row>
    <row r="1348" spans="43:44" x14ac:dyDescent="0.25">
      <c r="AQ1348" s="139" t="s">
        <v>60</v>
      </c>
      <c r="AR1348" s="35">
        <v>0</v>
      </c>
    </row>
    <row r="1349" spans="43:44" x14ac:dyDescent="0.25">
      <c r="AQ1349" s="16">
        <v>338</v>
      </c>
      <c r="AR1349" s="35">
        <v>0</v>
      </c>
    </row>
    <row r="1350" spans="43:44" x14ac:dyDescent="0.25">
      <c r="AQ1350" s="136" t="s">
        <v>54</v>
      </c>
      <c r="AR1350" s="35">
        <v>0</v>
      </c>
    </row>
    <row r="1351" spans="43:44" x14ac:dyDescent="0.25">
      <c r="AQ1351" s="138" t="s">
        <v>54</v>
      </c>
      <c r="AR1351" s="35">
        <v>0</v>
      </c>
    </row>
    <row r="1352" spans="43:44" x14ac:dyDescent="0.25">
      <c r="AQ1352" s="139" t="s">
        <v>60</v>
      </c>
      <c r="AR1352" s="35">
        <v>0</v>
      </c>
    </row>
    <row r="1353" spans="43:44" x14ac:dyDescent="0.25">
      <c r="AQ1353" s="16">
        <v>339</v>
      </c>
      <c r="AR1353" s="35">
        <v>0</v>
      </c>
    </row>
    <row r="1354" spans="43:44" x14ac:dyDescent="0.25">
      <c r="AQ1354" s="136" t="s">
        <v>54</v>
      </c>
      <c r="AR1354" s="35">
        <v>0</v>
      </c>
    </row>
    <row r="1355" spans="43:44" x14ac:dyDescent="0.25">
      <c r="AQ1355" s="138" t="s">
        <v>54</v>
      </c>
      <c r="AR1355" s="35">
        <v>0</v>
      </c>
    </row>
    <row r="1356" spans="43:44" x14ac:dyDescent="0.25">
      <c r="AQ1356" s="139" t="s">
        <v>60</v>
      </c>
      <c r="AR1356" s="35">
        <v>0</v>
      </c>
    </row>
    <row r="1357" spans="43:44" x14ac:dyDescent="0.25">
      <c r="AQ1357" s="16">
        <v>340</v>
      </c>
      <c r="AR1357" s="35">
        <v>0</v>
      </c>
    </row>
    <row r="1358" spans="43:44" x14ac:dyDescent="0.25">
      <c r="AQ1358" s="136" t="s">
        <v>54</v>
      </c>
      <c r="AR1358" s="35">
        <v>0</v>
      </c>
    </row>
    <row r="1359" spans="43:44" x14ac:dyDescent="0.25">
      <c r="AQ1359" s="138" t="s">
        <v>54</v>
      </c>
      <c r="AR1359" s="35">
        <v>0</v>
      </c>
    </row>
    <row r="1360" spans="43:44" x14ac:dyDescent="0.25">
      <c r="AQ1360" s="139" t="s">
        <v>60</v>
      </c>
      <c r="AR1360" s="35">
        <v>0</v>
      </c>
    </row>
    <row r="1361" spans="43:44" x14ac:dyDescent="0.25">
      <c r="AQ1361" s="16">
        <v>341</v>
      </c>
      <c r="AR1361" s="35">
        <v>0</v>
      </c>
    </row>
    <row r="1362" spans="43:44" x14ac:dyDescent="0.25">
      <c r="AQ1362" s="136" t="s">
        <v>54</v>
      </c>
      <c r="AR1362" s="35">
        <v>0</v>
      </c>
    </row>
    <row r="1363" spans="43:44" x14ac:dyDescent="0.25">
      <c r="AQ1363" s="138" t="s">
        <v>54</v>
      </c>
      <c r="AR1363" s="35">
        <v>0</v>
      </c>
    </row>
    <row r="1364" spans="43:44" x14ac:dyDescent="0.25">
      <c r="AQ1364" s="139" t="s">
        <v>60</v>
      </c>
      <c r="AR1364" s="35">
        <v>0</v>
      </c>
    </row>
    <row r="1365" spans="43:44" x14ac:dyDescent="0.25">
      <c r="AQ1365" s="16">
        <v>342</v>
      </c>
      <c r="AR1365" s="35">
        <v>0</v>
      </c>
    </row>
    <row r="1366" spans="43:44" x14ac:dyDescent="0.25">
      <c r="AQ1366" s="136" t="s">
        <v>54</v>
      </c>
      <c r="AR1366" s="35">
        <v>0</v>
      </c>
    </row>
    <row r="1367" spans="43:44" x14ac:dyDescent="0.25">
      <c r="AQ1367" s="138" t="s">
        <v>54</v>
      </c>
      <c r="AR1367" s="35">
        <v>0</v>
      </c>
    </row>
    <row r="1368" spans="43:44" x14ac:dyDescent="0.25">
      <c r="AQ1368" s="139" t="s">
        <v>60</v>
      </c>
      <c r="AR1368" s="35">
        <v>0</v>
      </c>
    </row>
    <row r="1369" spans="43:44" x14ac:dyDescent="0.25">
      <c r="AQ1369" s="16">
        <v>343</v>
      </c>
      <c r="AR1369" s="35">
        <v>0</v>
      </c>
    </row>
    <row r="1370" spans="43:44" x14ac:dyDescent="0.25">
      <c r="AQ1370" s="136" t="s">
        <v>54</v>
      </c>
      <c r="AR1370" s="35">
        <v>0</v>
      </c>
    </row>
    <row r="1371" spans="43:44" x14ac:dyDescent="0.25">
      <c r="AQ1371" s="138" t="s">
        <v>54</v>
      </c>
      <c r="AR1371" s="35">
        <v>0</v>
      </c>
    </row>
    <row r="1372" spans="43:44" x14ac:dyDescent="0.25">
      <c r="AQ1372" s="139" t="s">
        <v>60</v>
      </c>
      <c r="AR1372" s="35">
        <v>0</v>
      </c>
    </row>
    <row r="1373" spans="43:44" x14ac:dyDescent="0.25">
      <c r="AQ1373" s="16">
        <v>344</v>
      </c>
      <c r="AR1373" s="35">
        <v>0</v>
      </c>
    </row>
    <row r="1374" spans="43:44" x14ac:dyDescent="0.25">
      <c r="AQ1374" s="136" t="s">
        <v>54</v>
      </c>
      <c r="AR1374" s="35">
        <v>0</v>
      </c>
    </row>
    <row r="1375" spans="43:44" x14ac:dyDescent="0.25">
      <c r="AQ1375" s="138" t="s">
        <v>54</v>
      </c>
      <c r="AR1375" s="35">
        <v>0</v>
      </c>
    </row>
    <row r="1376" spans="43:44" x14ac:dyDescent="0.25">
      <c r="AQ1376" s="139" t="s">
        <v>60</v>
      </c>
      <c r="AR1376" s="35">
        <v>0</v>
      </c>
    </row>
    <row r="1377" spans="43:44" x14ac:dyDescent="0.25">
      <c r="AQ1377" s="16">
        <v>345</v>
      </c>
      <c r="AR1377" s="35">
        <v>0</v>
      </c>
    </row>
    <row r="1378" spans="43:44" x14ac:dyDescent="0.25">
      <c r="AQ1378" s="136" t="s">
        <v>54</v>
      </c>
      <c r="AR1378" s="35">
        <v>0</v>
      </c>
    </row>
    <row r="1379" spans="43:44" x14ac:dyDescent="0.25">
      <c r="AQ1379" s="138" t="s">
        <v>54</v>
      </c>
      <c r="AR1379" s="35">
        <v>0</v>
      </c>
    </row>
    <row r="1380" spans="43:44" x14ac:dyDescent="0.25">
      <c r="AQ1380" s="139" t="s">
        <v>60</v>
      </c>
      <c r="AR1380" s="35">
        <v>0</v>
      </c>
    </row>
    <row r="1381" spans="43:44" x14ac:dyDescent="0.25">
      <c r="AQ1381" s="16">
        <v>346</v>
      </c>
      <c r="AR1381" s="35">
        <v>0</v>
      </c>
    </row>
    <row r="1382" spans="43:44" x14ac:dyDescent="0.25">
      <c r="AQ1382" s="136" t="s">
        <v>54</v>
      </c>
      <c r="AR1382" s="35">
        <v>0</v>
      </c>
    </row>
    <row r="1383" spans="43:44" x14ac:dyDescent="0.25">
      <c r="AQ1383" s="138" t="s">
        <v>54</v>
      </c>
      <c r="AR1383" s="35">
        <v>0</v>
      </c>
    </row>
    <row r="1384" spans="43:44" x14ac:dyDescent="0.25">
      <c r="AQ1384" s="139" t="s">
        <v>60</v>
      </c>
      <c r="AR1384" s="35">
        <v>0</v>
      </c>
    </row>
    <row r="1385" spans="43:44" x14ac:dyDescent="0.25">
      <c r="AQ1385" s="16">
        <v>347</v>
      </c>
      <c r="AR1385" s="35">
        <v>0</v>
      </c>
    </row>
    <row r="1386" spans="43:44" x14ac:dyDescent="0.25">
      <c r="AQ1386" s="136" t="s">
        <v>54</v>
      </c>
      <c r="AR1386" s="35">
        <v>0</v>
      </c>
    </row>
    <row r="1387" spans="43:44" x14ac:dyDescent="0.25">
      <c r="AQ1387" s="138" t="s">
        <v>54</v>
      </c>
      <c r="AR1387" s="35">
        <v>0</v>
      </c>
    </row>
    <row r="1388" spans="43:44" x14ac:dyDescent="0.25">
      <c r="AQ1388" s="139" t="s">
        <v>60</v>
      </c>
      <c r="AR1388" s="35">
        <v>0</v>
      </c>
    </row>
    <row r="1389" spans="43:44" x14ac:dyDescent="0.25">
      <c r="AQ1389" s="16">
        <v>348</v>
      </c>
      <c r="AR1389" s="35">
        <v>0</v>
      </c>
    </row>
    <row r="1390" spans="43:44" x14ac:dyDescent="0.25">
      <c r="AQ1390" s="136" t="s">
        <v>54</v>
      </c>
      <c r="AR1390" s="35">
        <v>0</v>
      </c>
    </row>
    <row r="1391" spans="43:44" x14ac:dyDescent="0.25">
      <c r="AQ1391" s="138" t="s">
        <v>54</v>
      </c>
      <c r="AR1391" s="35">
        <v>0</v>
      </c>
    </row>
    <row r="1392" spans="43:44" x14ac:dyDescent="0.25">
      <c r="AQ1392" s="139" t="s">
        <v>60</v>
      </c>
      <c r="AR1392" s="35">
        <v>0</v>
      </c>
    </row>
    <row r="1393" spans="43:44" x14ac:dyDescent="0.25">
      <c r="AQ1393" s="16">
        <v>349</v>
      </c>
      <c r="AR1393" s="35">
        <v>0</v>
      </c>
    </row>
    <row r="1394" spans="43:44" x14ac:dyDescent="0.25">
      <c r="AQ1394" s="136" t="s">
        <v>54</v>
      </c>
      <c r="AR1394" s="35">
        <v>0</v>
      </c>
    </row>
    <row r="1395" spans="43:44" x14ac:dyDescent="0.25">
      <c r="AQ1395" s="138" t="s">
        <v>54</v>
      </c>
      <c r="AR1395" s="35">
        <v>0</v>
      </c>
    </row>
    <row r="1396" spans="43:44" x14ac:dyDescent="0.25">
      <c r="AQ1396" s="139" t="s">
        <v>60</v>
      </c>
      <c r="AR1396" s="35">
        <v>0</v>
      </c>
    </row>
    <row r="1397" spans="43:44" x14ac:dyDescent="0.25">
      <c r="AQ1397" s="16">
        <v>350</v>
      </c>
      <c r="AR1397" s="35">
        <v>0</v>
      </c>
    </row>
    <row r="1398" spans="43:44" x14ac:dyDescent="0.25">
      <c r="AQ1398" s="136" t="s">
        <v>54</v>
      </c>
      <c r="AR1398" s="35">
        <v>0</v>
      </c>
    </row>
    <row r="1399" spans="43:44" x14ac:dyDescent="0.25">
      <c r="AQ1399" s="138" t="s">
        <v>54</v>
      </c>
      <c r="AR1399" s="35">
        <v>0</v>
      </c>
    </row>
    <row r="1400" spans="43:44" x14ac:dyDescent="0.25">
      <c r="AQ1400" s="139" t="s">
        <v>60</v>
      </c>
      <c r="AR1400" s="35">
        <v>0</v>
      </c>
    </row>
    <row r="1401" spans="43:44" x14ac:dyDescent="0.25">
      <c r="AQ1401" s="16">
        <v>351</v>
      </c>
      <c r="AR1401" s="35">
        <v>0</v>
      </c>
    </row>
    <row r="1402" spans="43:44" x14ac:dyDescent="0.25">
      <c r="AQ1402" s="136" t="s">
        <v>54</v>
      </c>
      <c r="AR1402" s="35">
        <v>0</v>
      </c>
    </row>
    <row r="1403" spans="43:44" x14ac:dyDescent="0.25">
      <c r="AQ1403" s="138" t="s">
        <v>54</v>
      </c>
      <c r="AR1403" s="35">
        <v>0</v>
      </c>
    </row>
    <row r="1404" spans="43:44" x14ac:dyDescent="0.25">
      <c r="AQ1404" s="139" t="s">
        <v>60</v>
      </c>
      <c r="AR1404" s="35">
        <v>0</v>
      </c>
    </row>
    <row r="1405" spans="43:44" x14ac:dyDescent="0.25">
      <c r="AQ1405" s="16">
        <v>352</v>
      </c>
      <c r="AR1405" s="35">
        <v>0</v>
      </c>
    </row>
    <row r="1406" spans="43:44" x14ac:dyDescent="0.25">
      <c r="AQ1406" s="136" t="s">
        <v>54</v>
      </c>
      <c r="AR1406" s="35">
        <v>0</v>
      </c>
    </row>
    <row r="1407" spans="43:44" x14ac:dyDescent="0.25">
      <c r="AQ1407" s="138" t="s">
        <v>54</v>
      </c>
      <c r="AR1407" s="35">
        <v>0</v>
      </c>
    </row>
    <row r="1408" spans="43:44" x14ac:dyDescent="0.25">
      <c r="AQ1408" s="139" t="s">
        <v>60</v>
      </c>
      <c r="AR1408" s="35">
        <v>0</v>
      </c>
    </row>
    <row r="1409" spans="43:44" x14ac:dyDescent="0.25">
      <c r="AQ1409" s="16">
        <v>353</v>
      </c>
      <c r="AR1409" s="35">
        <v>0</v>
      </c>
    </row>
    <row r="1410" spans="43:44" x14ac:dyDescent="0.25">
      <c r="AQ1410" s="136" t="s">
        <v>54</v>
      </c>
      <c r="AR1410" s="35">
        <v>0</v>
      </c>
    </row>
    <row r="1411" spans="43:44" x14ac:dyDescent="0.25">
      <c r="AQ1411" s="138" t="s">
        <v>54</v>
      </c>
      <c r="AR1411" s="35">
        <v>0</v>
      </c>
    </row>
    <row r="1412" spans="43:44" x14ac:dyDescent="0.25">
      <c r="AQ1412" s="139" t="s">
        <v>60</v>
      </c>
      <c r="AR1412" s="35">
        <v>0</v>
      </c>
    </row>
    <row r="1413" spans="43:44" x14ac:dyDescent="0.25">
      <c r="AQ1413" s="16">
        <v>354</v>
      </c>
      <c r="AR1413" s="35">
        <v>0</v>
      </c>
    </row>
    <row r="1414" spans="43:44" x14ac:dyDescent="0.25">
      <c r="AQ1414" s="136" t="s">
        <v>54</v>
      </c>
      <c r="AR1414" s="35">
        <v>0</v>
      </c>
    </row>
    <row r="1415" spans="43:44" x14ac:dyDescent="0.25">
      <c r="AQ1415" s="138" t="s">
        <v>54</v>
      </c>
      <c r="AR1415" s="35">
        <v>0</v>
      </c>
    </row>
    <row r="1416" spans="43:44" x14ac:dyDescent="0.25">
      <c r="AQ1416" s="139" t="s">
        <v>60</v>
      </c>
      <c r="AR1416" s="35">
        <v>0</v>
      </c>
    </row>
    <row r="1417" spans="43:44" x14ac:dyDescent="0.25">
      <c r="AQ1417" s="16">
        <v>355</v>
      </c>
      <c r="AR1417" s="35">
        <v>0</v>
      </c>
    </row>
    <row r="1418" spans="43:44" x14ac:dyDescent="0.25">
      <c r="AQ1418" s="136" t="s">
        <v>54</v>
      </c>
      <c r="AR1418" s="35">
        <v>0</v>
      </c>
    </row>
    <row r="1419" spans="43:44" x14ac:dyDescent="0.25">
      <c r="AQ1419" s="138" t="s">
        <v>54</v>
      </c>
      <c r="AR1419" s="35">
        <v>0</v>
      </c>
    </row>
    <row r="1420" spans="43:44" x14ac:dyDescent="0.25">
      <c r="AQ1420" s="139" t="s">
        <v>60</v>
      </c>
      <c r="AR1420" s="35">
        <v>0</v>
      </c>
    </row>
    <row r="1421" spans="43:44" x14ac:dyDescent="0.25">
      <c r="AQ1421" s="16">
        <v>356</v>
      </c>
      <c r="AR1421" s="35">
        <v>0</v>
      </c>
    </row>
    <row r="1422" spans="43:44" x14ac:dyDescent="0.25">
      <c r="AQ1422" s="136" t="s">
        <v>54</v>
      </c>
      <c r="AR1422" s="35">
        <v>0</v>
      </c>
    </row>
    <row r="1423" spans="43:44" x14ac:dyDescent="0.25">
      <c r="AQ1423" s="138" t="s">
        <v>54</v>
      </c>
      <c r="AR1423" s="35">
        <v>0</v>
      </c>
    </row>
    <row r="1424" spans="43:44" x14ac:dyDescent="0.25">
      <c r="AQ1424" s="139" t="s">
        <v>60</v>
      </c>
      <c r="AR1424" s="35">
        <v>0</v>
      </c>
    </row>
    <row r="1425" spans="43:44" x14ac:dyDescent="0.25">
      <c r="AQ1425" s="16">
        <v>357</v>
      </c>
      <c r="AR1425" s="35">
        <v>0</v>
      </c>
    </row>
    <row r="1426" spans="43:44" x14ac:dyDescent="0.25">
      <c r="AQ1426" s="136" t="s">
        <v>54</v>
      </c>
      <c r="AR1426" s="35">
        <v>0</v>
      </c>
    </row>
    <row r="1427" spans="43:44" x14ac:dyDescent="0.25">
      <c r="AQ1427" s="138" t="s">
        <v>54</v>
      </c>
      <c r="AR1427" s="35">
        <v>0</v>
      </c>
    </row>
    <row r="1428" spans="43:44" x14ac:dyDescent="0.25">
      <c r="AQ1428" s="139" t="s">
        <v>60</v>
      </c>
      <c r="AR1428" s="35">
        <v>0</v>
      </c>
    </row>
    <row r="1429" spans="43:44" x14ac:dyDescent="0.25">
      <c r="AQ1429" s="16">
        <v>358</v>
      </c>
      <c r="AR1429" s="35">
        <v>0</v>
      </c>
    </row>
    <row r="1430" spans="43:44" x14ac:dyDescent="0.25">
      <c r="AQ1430" s="136" t="s">
        <v>54</v>
      </c>
      <c r="AR1430" s="35">
        <v>0</v>
      </c>
    </row>
    <row r="1431" spans="43:44" x14ac:dyDescent="0.25">
      <c r="AQ1431" s="138" t="s">
        <v>54</v>
      </c>
      <c r="AR1431" s="35">
        <v>0</v>
      </c>
    </row>
    <row r="1432" spans="43:44" x14ac:dyDescent="0.25">
      <c r="AQ1432" s="139" t="s">
        <v>60</v>
      </c>
      <c r="AR1432" s="35">
        <v>0</v>
      </c>
    </row>
    <row r="1433" spans="43:44" x14ac:dyDescent="0.25">
      <c r="AQ1433" s="16">
        <v>359</v>
      </c>
      <c r="AR1433" s="35">
        <v>0</v>
      </c>
    </row>
    <row r="1434" spans="43:44" x14ac:dyDescent="0.25">
      <c r="AQ1434" s="136" t="s">
        <v>54</v>
      </c>
      <c r="AR1434" s="35">
        <v>0</v>
      </c>
    </row>
    <row r="1435" spans="43:44" x14ac:dyDescent="0.25">
      <c r="AQ1435" s="138" t="s">
        <v>54</v>
      </c>
      <c r="AR1435" s="35">
        <v>0</v>
      </c>
    </row>
    <row r="1436" spans="43:44" x14ac:dyDescent="0.25">
      <c r="AQ1436" s="139" t="s">
        <v>60</v>
      </c>
      <c r="AR1436" s="35">
        <v>0</v>
      </c>
    </row>
    <row r="1437" spans="43:44" x14ac:dyDescent="0.25">
      <c r="AQ1437" s="16">
        <v>360</v>
      </c>
      <c r="AR1437" s="35">
        <v>0</v>
      </c>
    </row>
    <row r="1438" spans="43:44" x14ac:dyDescent="0.25">
      <c r="AQ1438" s="136" t="s">
        <v>54</v>
      </c>
      <c r="AR1438" s="35">
        <v>0</v>
      </c>
    </row>
    <row r="1439" spans="43:44" x14ac:dyDescent="0.25">
      <c r="AQ1439" s="138" t="s">
        <v>54</v>
      </c>
      <c r="AR1439" s="35">
        <v>0</v>
      </c>
    </row>
    <row r="1440" spans="43:44" x14ac:dyDescent="0.25">
      <c r="AQ1440" s="139" t="s">
        <v>60</v>
      </c>
      <c r="AR1440" s="35">
        <v>0</v>
      </c>
    </row>
    <row r="1441" spans="43:44" x14ac:dyDescent="0.25">
      <c r="AQ1441" s="16">
        <v>361</v>
      </c>
      <c r="AR1441" s="35">
        <v>0</v>
      </c>
    </row>
    <row r="1442" spans="43:44" x14ac:dyDescent="0.25">
      <c r="AQ1442" s="136" t="s">
        <v>54</v>
      </c>
      <c r="AR1442" s="35">
        <v>0</v>
      </c>
    </row>
    <row r="1443" spans="43:44" x14ac:dyDescent="0.25">
      <c r="AQ1443" s="138" t="s">
        <v>54</v>
      </c>
      <c r="AR1443" s="35">
        <v>0</v>
      </c>
    </row>
    <row r="1444" spans="43:44" x14ac:dyDescent="0.25">
      <c r="AQ1444" s="139" t="s">
        <v>60</v>
      </c>
      <c r="AR1444" s="35">
        <v>0</v>
      </c>
    </row>
    <row r="1445" spans="43:44" x14ac:dyDescent="0.25">
      <c r="AQ1445" s="16">
        <v>362</v>
      </c>
      <c r="AR1445" s="35">
        <v>0</v>
      </c>
    </row>
    <row r="1446" spans="43:44" x14ac:dyDescent="0.25">
      <c r="AQ1446" s="136" t="s">
        <v>54</v>
      </c>
      <c r="AR1446" s="35">
        <v>0</v>
      </c>
    </row>
    <row r="1447" spans="43:44" x14ac:dyDescent="0.25">
      <c r="AQ1447" s="138" t="s">
        <v>54</v>
      </c>
      <c r="AR1447" s="35">
        <v>0</v>
      </c>
    </row>
    <row r="1448" spans="43:44" x14ac:dyDescent="0.25">
      <c r="AQ1448" s="139" t="s">
        <v>60</v>
      </c>
      <c r="AR1448" s="35">
        <v>0</v>
      </c>
    </row>
    <row r="1449" spans="43:44" x14ac:dyDescent="0.25">
      <c r="AQ1449" s="16">
        <v>363</v>
      </c>
      <c r="AR1449" s="35">
        <v>0</v>
      </c>
    </row>
    <row r="1450" spans="43:44" x14ac:dyDescent="0.25">
      <c r="AQ1450" s="136" t="s">
        <v>54</v>
      </c>
      <c r="AR1450" s="35">
        <v>0</v>
      </c>
    </row>
    <row r="1451" spans="43:44" x14ac:dyDescent="0.25">
      <c r="AQ1451" s="138" t="s">
        <v>54</v>
      </c>
      <c r="AR1451" s="35">
        <v>0</v>
      </c>
    </row>
    <row r="1452" spans="43:44" x14ac:dyDescent="0.25">
      <c r="AQ1452" s="139" t="s">
        <v>60</v>
      </c>
      <c r="AR1452" s="35">
        <v>0</v>
      </c>
    </row>
    <row r="1453" spans="43:44" x14ac:dyDescent="0.25">
      <c r="AQ1453" s="16">
        <v>364</v>
      </c>
      <c r="AR1453" s="35">
        <v>0</v>
      </c>
    </row>
    <row r="1454" spans="43:44" x14ac:dyDescent="0.25">
      <c r="AQ1454" s="136" t="s">
        <v>54</v>
      </c>
      <c r="AR1454" s="35">
        <v>0</v>
      </c>
    </row>
    <row r="1455" spans="43:44" x14ac:dyDescent="0.25">
      <c r="AQ1455" s="138" t="s">
        <v>54</v>
      </c>
      <c r="AR1455" s="35">
        <v>0</v>
      </c>
    </row>
    <row r="1456" spans="43:44" x14ac:dyDescent="0.25">
      <c r="AQ1456" s="139" t="s">
        <v>60</v>
      </c>
      <c r="AR1456" s="35">
        <v>0</v>
      </c>
    </row>
    <row r="1457" spans="43:44" x14ac:dyDescent="0.25">
      <c r="AQ1457" s="16">
        <v>365</v>
      </c>
      <c r="AR1457" s="35">
        <v>0</v>
      </c>
    </row>
    <row r="1458" spans="43:44" x14ac:dyDescent="0.25">
      <c r="AQ1458" s="136" t="s">
        <v>54</v>
      </c>
      <c r="AR1458" s="35">
        <v>0</v>
      </c>
    </row>
    <row r="1459" spans="43:44" x14ac:dyDescent="0.25">
      <c r="AQ1459" s="138" t="s">
        <v>54</v>
      </c>
      <c r="AR1459" s="35">
        <v>0</v>
      </c>
    </row>
    <row r="1460" spans="43:44" x14ac:dyDescent="0.25">
      <c r="AQ1460" s="139" t="s">
        <v>60</v>
      </c>
      <c r="AR1460" s="35">
        <v>0</v>
      </c>
    </row>
    <row r="1461" spans="43:44" x14ac:dyDescent="0.25">
      <c r="AQ1461" s="16">
        <v>366</v>
      </c>
      <c r="AR1461" s="35">
        <v>0</v>
      </c>
    </row>
    <row r="1462" spans="43:44" x14ac:dyDescent="0.25">
      <c r="AQ1462" s="136" t="s">
        <v>54</v>
      </c>
      <c r="AR1462" s="35">
        <v>0</v>
      </c>
    </row>
    <row r="1463" spans="43:44" x14ac:dyDescent="0.25">
      <c r="AQ1463" s="138" t="s">
        <v>54</v>
      </c>
      <c r="AR1463" s="35">
        <v>0</v>
      </c>
    </row>
    <row r="1464" spans="43:44" x14ac:dyDescent="0.25">
      <c r="AQ1464" s="139" t="s">
        <v>60</v>
      </c>
      <c r="AR1464" s="35">
        <v>0</v>
      </c>
    </row>
    <row r="1465" spans="43:44" x14ac:dyDescent="0.25">
      <c r="AQ1465" s="16">
        <v>367</v>
      </c>
      <c r="AR1465" s="35">
        <v>0</v>
      </c>
    </row>
    <row r="1466" spans="43:44" x14ac:dyDescent="0.25">
      <c r="AQ1466" s="136" t="s">
        <v>54</v>
      </c>
      <c r="AR1466" s="35">
        <v>0</v>
      </c>
    </row>
    <row r="1467" spans="43:44" x14ac:dyDescent="0.25">
      <c r="AQ1467" s="138" t="s">
        <v>54</v>
      </c>
      <c r="AR1467" s="35">
        <v>0</v>
      </c>
    </row>
    <row r="1468" spans="43:44" x14ac:dyDescent="0.25">
      <c r="AQ1468" s="139" t="s">
        <v>60</v>
      </c>
      <c r="AR1468" s="35">
        <v>0</v>
      </c>
    </row>
    <row r="1469" spans="43:44" x14ac:dyDescent="0.25">
      <c r="AQ1469" s="16">
        <v>368</v>
      </c>
      <c r="AR1469" s="35">
        <v>0</v>
      </c>
    </row>
    <row r="1470" spans="43:44" x14ac:dyDescent="0.25">
      <c r="AQ1470" s="136" t="s">
        <v>54</v>
      </c>
      <c r="AR1470" s="35">
        <v>0</v>
      </c>
    </row>
    <row r="1471" spans="43:44" x14ac:dyDescent="0.25">
      <c r="AQ1471" s="138" t="s">
        <v>54</v>
      </c>
      <c r="AR1471" s="35">
        <v>0</v>
      </c>
    </row>
    <row r="1472" spans="43:44" x14ac:dyDescent="0.25">
      <c r="AQ1472" s="139" t="s">
        <v>60</v>
      </c>
      <c r="AR1472" s="35">
        <v>0</v>
      </c>
    </row>
    <row r="1473" spans="43:44" x14ac:dyDescent="0.25">
      <c r="AQ1473" s="16">
        <v>369</v>
      </c>
      <c r="AR1473" s="35">
        <v>0</v>
      </c>
    </row>
    <row r="1474" spans="43:44" x14ac:dyDescent="0.25">
      <c r="AQ1474" s="136" t="s">
        <v>54</v>
      </c>
      <c r="AR1474" s="35">
        <v>0</v>
      </c>
    </row>
    <row r="1475" spans="43:44" x14ac:dyDescent="0.25">
      <c r="AQ1475" s="138" t="s">
        <v>54</v>
      </c>
      <c r="AR1475" s="35">
        <v>0</v>
      </c>
    </row>
    <row r="1476" spans="43:44" x14ac:dyDescent="0.25">
      <c r="AQ1476" s="139" t="s">
        <v>60</v>
      </c>
      <c r="AR1476" s="35">
        <v>0</v>
      </c>
    </row>
    <row r="1477" spans="43:44" x14ac:dyDescent="0.25">
      <c r="AQ1477" s="16">
        <v>370</v>
      </c>
      <c r="AR1477" s="35">
        <v>0</v>
      </c>
    </row>
    <row r="1478" spans="43:44" x14ac:dyDescent="0.25">
      <c r="AQ1478" s="136" t="s">
        <v>54</v>
      </c>
      <c r="AR1478" s="35">
        <v>0</v>
      </c>
    </row>
    <row r="1479" spans="43:44" x14ac:dyDescent="0.25">
      <c r="AQ1479" s="138" t="s">
        <v>54</v>
      </c>
      <c r="AR1479" s="35">
        <v>0</v>
      </c>
    </row>
    <row r="1480" spans="43:44" x14ac:dyDescent="0.25">
      <c r="AQ1480" s="139" t="s">
        <v>60</v>
      </c>
      <c r="AR1480" s="35">
        <v>0</v>
      </c>
    </row>
    <row r="1481" spans="43:44" x14ac:dyDescent="0.25">
      <c r="AQ1481" s="16">
        <v>371</v>
      </c>
      <c r="AR1481" s="35">
        <v>0</v>
      </c>
    </row>
    <row r="1482" spans="43:44" x14ac:dyDescent="0.25">
      <c r="AQ1482" s="136" t="s">
        <v>54</v>
      </c>
      <c r="AR1482" s="35">
        <v>0</v>
      </c>
    </row>
    <row r="1483" spans="43:44" x14ac:dyDescent="0.25">
      <c r="AQ1483" s="138" t="s">
        <v>54</v>
      </c>
      <c r="AR1483" s="35">
        <v>0</v>
      </c>
    </row>
    <row r="1484" spans="43:44" x14ac:dyDescent="0.25">
      <c r="AQ1484" s="139" t="s">
        <v>60</v>
      </c>
      <c r="AR1484" s="35">
        <v>0</v>
      </c>
    </row>
    <row r="1485" spans="43:44" x14ac:dyDescent="0.25">
      <c r="AQ1485" s="16">
        <v>372</v>
      </c>
      <c r="AR1485" s="35">
        <v>0</v>
      </c>
    </row>
    <row r="1486" spans="43:44" x14ac:dyDescent="0.25">
      <c r="AQ1486" s="136" t="s">
        <v>54</v>
      </c>
      <c r="AR1486" s="35">
        <v>0</v>
      </c>
    </row>
    <row r="1487" spans="43:44" x14ac:dyDescent="0.25">
      <c r="AQ1487" s="138" t="s">
        <v>54</v>
      </c>
      <c r="AR1487" s="35">
        <v>0</v>
      </c>
    </row>
    <row r="1488" spans="43:44" x14ac:dyDescent="0.25">
      <c r="AQ1488" s="139" t="s">
        <v>60</v>
      </c>
      <c r="AR1488" s="35">
        <v>0</v>
      </c>
    </row>
    <row r="1489" spans="43:44" x14ac:dyDescent="0.25">
      <c r="AQ1489" s="16">
        <v>373</v>
      </c>
      <c r="AR1489" s="35">
        <v>0</v>
      </c>
    </row>
    <row r="1490" spans="43:44" x14ac:dyDescent="0.25">
      <c r="AQ1490" s="136" t="s">
        <v>54</v>
      </c>
      <c r="AR1490" s="35">
        <v>0</v>
      </c>
    </row>
    <row r="1491" spans="43:44" x14ac:dyDescent="0.25">
      <c r="AQ1491" s="138" t="s">
        <v>54</v>
      </c>
      <c r="AR1491" s="35">
        <v>0</v>
      </c>
    </row>
    <row r="1492" spans="43:44" x14ac:dyDescent="0.25">
      <c r="AQ1492" s="139" t="s">
        <v>60</v>
      </c>
      <c r="AR1492" s="35">
        <v>0</v>
      </c>
    </row>
    <row r="1493" spans="43:44" x14ac:dyDescent="0.25">
      <c r="AQ1493" s="16">
        <v>374</v>
      </c>
      <c r="AR1493" s="35">
        <v>0</v>
      </c>
    </row>
    <row r="1494" spans="43:44" x14ac:dyDescent="0.25">
      <c r="AQ1494" s="136" t="s">
        <v>54</v>
      </c>
      <c r="AR1494" s="35">
        <v>0</v>
      </c>
    </row>
    <row r="1495" spans="43:44" x14ac:dyDescent="0.25">
      <c r="AQ1495" s="138" t="s">
        <v>54</v>
      </c>
      <c r="AR1495" s="35">
        <v>0</v>
      </c>
    </row>
    <row r="1496" spans="43:44" x14ac:dyDescent="0.25">
      <c r="AQ1496" s="139" t="s">
        <v>60</v>
      </c>
      <c r="AR1496" s="35">
        <v>0</v>
      </c>
    </row>
    <row r="1497" spans="43:44" x14ac:dyDescent="0.25">
      <c r="AQ1497" s="16">
        <v>375</v>
      </c>
      <c r="AR1497" s="35">
        <v>0</v>
      </c>
    </row>
    <row r="1498" spans="43:44" x14ac:dyDescent="0.25">
      <c r="AQ1498" s="136" t="s">
        <v>54</v>
      </c>
      <c r="AR1498" s="35">
        <v>0</v>
      </c>
    </row>
    <row r="1499" spans="43:44" x14ac:dyDescent="0.25">
      <c r="AQ1499" s="138" t="s">
        <v>54</v>
      </c>
      <c r="AR1499" s="35">
        <v>0</v>
      </c>
    </row>
    <row r="1500" spans="43:44" x14ac:dyDescent="0.25">
      <c r="AQ1500" s="139" t="s">
        <v>60</v>
      </c>
      <c r="AR1500" s="35">
        <v>0</v>
      </c>
    </row>
    <row r="1501" spans="43:44" x14ac:dyDescent="0.25">
      <c r="AQ1501" s="16">
        <v>376</v>
      </c>
      <c r="AR1501" s="35">
        <v>0</v>
      </c>
    </row>
    <row r="1502" spans="43:44" x14ac:dyDescent="0.25">
      <c r="AQ1502" s="136" t="s">
        <v>54</v>
      </c>
      <c r="AR1502" s="35">
        <v>0</v>
      </c>
    </row>
    <row r="1503" spans="43:44" x14ac:dyDescent="0.25">
      <c r="AQ1503" s="138" t="s">
        <v>54</v>
      </c>
      <c r="AR1503" s="35">
        <v>0</v>
      </c>
    </row>
    <row r="1504" spans="43:44" x14ac:dyDescent="0.25">
      <c r="AQ1504" s="139" t="s">
        <v>60</v>
      </c>
      <c r="AR1504" s="35">
        <v>0</v>
      </c>
    </row>
    <row r="1505" spans="43:44" x14ac:dyDescent="0.25">
      <c r="AQ1505" s="16">
        <v>377</v>
      </c>
      <c r="AR1505" s="35">
        <v>0</v>
      </c>
    </row>
    <row r="1506" spans="43:44" x14ac:dyDescent="0.25">
      <c r="AQ1506" s="136" t="s">
        <v>54</v>
      </c>
      <c r="AR1506" s="35">
        <v>0</v>
      </c>
    </row>
    <row r="1507" spans="43:44" x14ac:dyDescent="0.25">
      <c r="AQ1507" s="138" t="s">
        <v>54</v>
      </c>
      <c r="AR1507" s="35">
        <v>0</v>
      </c>
    </row>
    <row r="1508" spans="43:44" x14ac:dyDescent="0.25">
      <c r="AQ1508" s="139" t="s">
        <v>60</v>
      </c>
      <c r="AR1508" s="35">
        <v>0</v>
      </c>
    </row>
    <row r="1509" spans="43:44" x14ac:dyDescent="0.25">
      <c r="AQ1509" s="16">
        <v>378</v>
      </c>
      <c r="AR1509" s="35">
        <v>0</v>
      </c>
    </row>
    <row r="1510" spans="43:44" x14ac:dyDescent="0.25">
      <c r="AQ1510" s="136" t="s">
        <v>54</v>
      </c>
      <c r="AR1510" s="35">
        <v>0</v>
      </c>
    </row>
    <row r="1511" spans="43:44" x14ac:dyDescent="0.25">
      <c r="AQ1511" s="138" t="s">
        <v>54</v>
      </c>
      <c r="AR1511" s="35">
        <v>0</v>
      </c>
    </row>
    <row r="1512" spans="43:44" x14ac:dyDescent="0.25">
      <c r="AQ1512" s="139" t="s">
        <v>60</v>
      </c>
      <c r="AR1512" s="35">
        <v>0</v>
      </c>
    </row>
    <row r="1513" spans="43:44" x14ac:dyDescent="0.25">
      <c r="AQ1513" s="16">
        <v>379</v>
      </c>
      <c r="AR1513" s="35">
        <v>0</v>
      </c>
    </row>
    <row r="1514" spans="43:44" x14ac:dyDescent="0.25">
      <c r="AQ1514" s="136" t="s">
        <v>54</v>
      </c>
      <c r="AR1514" s="35">
        <v>0</v>
      </c>
    </row>
    <row r="1515" spans="43:44" x14ac:dyDescent="0.25">
      <c r="AQ1515" s="138" t="s">
        <v>54</v>
      </c>
      <c r="AR1515" s="35">
        <v>0</v>
      </c>
    </row>
    <row r="1516" spans="43:44" x14ac:dyDescent="0.25">
      <c r="AQ1516" s="139" t="s">
        <v>60</v>
      </c>
      <c r="AR1516" s="35">
        <v>0</v>
      </c>
    </row>
    <row r="1517" spans="43:44" x14ac:dyDescent="0.25">
      <c r="AQ1517" s="16">
        <v>380</v>
      </c>
      <c r="AR1517" s="35">
        <v>0</v>
      </c>
    </row>
    <row r="1518" spans="43:44" x14ac:dyDescent="0.25">
      <c r="AQ1518" s="136" t="s">
        <v>54</v>
      </c>
      <c r="AR1518" s="35">
        <v>0</v>
      </c>
    </row>
    <row r="1519" spans="43:44" x14ac:dyDescent="0.25">
      <c r="AQ1519" s="138" t="s">
        <v>54</v>
      </c>
      <c r="AR1519" s="35">
        <v>0</v>
      </c>
    </row>
    <row r="1520" spans="43:44" x14ac:dyDescent="0.25">
      <c r="AQ1520" s="139" t="s">
        <v>60</v>
      </c>
      <c r="AR1520" s="35">
        <v>0</v>
      </c>
    </row>
    <row r="1521" spans="43:44" x14ac:dyDescent="0.25">
      <c r="AQ1521" s="16">
        <v>381</v>
      </c>
      <c r="AR1521" s="35">
        <v>0</v>
      </c>
    </row>
    <row r="1522" spans="43:44" x14ac:dyDescent="0.25">
      <c r="AQ1522" s="136" t="s">
        <v>54</v>
      </c>
      <c r="AR1522" s="35">
        <v>0</v>
      </c>
    </row>
    <row r="1523" spans="43:44" x14ac:dyDescent="0.25">
      <c r="AQ1523" s="138" t="s">
        <v>54</v>
      </c>
      <c r="AR1523" s="35">
        <v>0</v>
      </c>
    </row>
    <row r="1524" spans="43:44" x14ac:dyDescent="0.25">
      <c r="AQ1524" s="139" t="s">
        <v>60</v>
      </c>
      <c r="AR1524" s="35">
        <v>0</v>
      </c>
    </row>
    <row r="1525" spans="43:44" x14ac:dyDescent="0.25">
      <c r="AQ1525" s="16">
        <v>382</v>
      </c>
      <c r="AR1525" s="35">
        <v>0</v>
      </c>
    </row>
    <row r="1526" spans="43:44" x14ac:dyDescent="0.25">
      <c r="AQ1526" s="136" t="s">
        <v>54</v>
      </c>
      <c r="AR1526" s="35">
        <v>0</v>
      </c>
    </row>
    <row r="1527" spans="43:44" x14ac:dyDescent="0.25">
      <c r="AQ1527" s="138" t="s">
        <v>54</v>
      </c>
      <c r="AR1527" s="35">
        <v>0</v>
      </c>
    </row>
    <row r="1528" spans="43:44" x14ac:dyDescent="0.25">
      <c r="AQ1528" s="139" t="s">
        <v>60</v>
      </c>
      <c r="AR1528" s="35">
        <v>0</v>
      </c>
    </row>
    <row r="1529" spans="43:44" x14ac:dyDescent="0.25">
      <c r="AQ1529" s="16">
        <v>383</v>
      </c>
      <c r="AR1529" s="35">
        <v>0</v>
      </c>
    </row>
    <row r="1530" spans="43:44" x14ac:dyDescent="0.25">
      <c r="AQ1530" s="136" t="s">
        <v>54</v>
      </c>
      <c r="AR1530" s="35">
        <v>0</v>
      </c>
    </row>
    <row r="1531" spans="43:44" x14ac:dyDescent="0.25">
      <c r="AQ1531" s="138" t="s">
        <v>54</v>
      </c>
      <c r="AR1531" s="35">
        <v>0</v>
      </c>
    </row>
    <row r="1532" spans="43:44" x14ac:dyDescent="0.25">
      <c r="AQ1532" s="139" t="s">
        <v>60</v>
      </c>
      <c r="AR1532" s="35">
        <v>0</v>
      </c>
    </row>
    <row r="1533" spans="43:44" x14ac:dyDescent="0.25">
      <c r="AQ1533" s="16">
        <v>384</v>
      </c>
      <c r="AR1533" s="35">
        <v>0</v>
      </c>
    </row>
    <row r="1534" spans="43:44" x14ac:dyDescent="0.25">
      <c r="AQ1534" s="136" t="s">
        <v>54</v>
      </c>
      <c r="AR1534" s="35">
        <v>0</v>
      </c>
    </row>
    <row r="1535" spans="43:44" x14ac:dyDescent="0.25">
      <c r="AQ1535" s="138" t="s">
        <v>54</v>
      </c>
      <c r="AR1535" s="35">
        <v>0</v>
      </c>
    </row>
    <row r="1536" spans="43:44" x14ac:dyDescent="0.25">
      <c r="AQ1536" s="139" t="s">
        <v>60</v>
      </c>
      <c r="AR1536" s="35">
        <v>0</v>
      </c>
    </row>
    <row r="1537" spans="43:44" x14ac:dyDescent="0.25">
      <c r="AQ1537" s="16">
        <v>385</v>
      </c>
      <c r="AR1537" s="35">
        <v>0</v>
      </c>
    </row>
    <row r="1538" spans="43:44" x14ac:dyDescent="0.25">
      <c r="AQ1538" s="136" t="s">
        <v>54</v>
      </c>
      <c r="AR1538" s="35">
        <v>0</v>
      </c>
    </row>
    <row r="1539" spans="43:44" x14ac:dyDescent="0.25">
      <c r="AQ1539" s="138" t="s">
        <v>54</v>
      </c>
      <c r="AR1539" s="35">
        <v>0</v>
      </c>
    </row>
    <row r="1540" spans="43:44" x14ac:dyDescent="0.25">
      <c r="AQ1540" s="139" t="s">
        <v>60</v>
      </c>
      <c r="AR1540" s="35">
        <v>0</v>
      </c>
    </row>
    <row r="1541" spans="43:44" x14ac:dyDescent="0.25">
      <c r="AQ1541" s="16">
        <v>386</v>
      </c>
      <c r="AR1541" s="35">
        <v>0</v>
      </c>
    </row>
    <row r="1542" spans="43:44" x14ac:dyDescent="0.25">
      <c r="AQ1542" s="136" t="s">
        <v>54</v>
      </c>
      <c r="AR1542" s="35">
        <v>0</v>
      </c>
    </row>
    <row r="1543" spans="43:44" x14ac:dyDescent="0.25">
      <c r="AQ1543" s="138" t="s">
        <v>54</v>
      </c>
      <c r="AR1543" s="35">
        <v>0</v>
      </c>
    </row>
    <row r="1544" spans="43:44" x14ac:dyDescent="0.25">
      <c r="AQ1544" s="139" t="s">
        <v>60</v>
      </c>
      <c r="AR1544" s="35">
        <v>0</v>
      </c>
    </row>
    <row r="1545" spans="43:44" x14ac:dyDescent="0.25">
      <c r="AQ1545" s="16">
        <v>387</v>
      </c>
      <c r="AR1545" s="35">
        <v>0</v>
      </c>
    </row>
    <row r="1546" spans="43:44" x14ac:dyDescent="0.25">
      <c r="AQ1546" s="136" t="s">
        <v>54</v>
      </c>
      <c r="AR1546" s="35">
        <v>0</v>
      </c>
    </row>
    <row r="1547" spans="43:44" x14ac:dyDescent="0.25">
      <c r="AQ1547" s="138" t="s">
        <v>54</v>
      </c>
      <c r="AR1547" s="35">
        <v>0</v>
      </c>
    </row>
    <row r="1548" spans="43:44" x14ac:dyDescent="0.25">
      <c r="AQ1548" s="139" t="s">
        <v>60</v>
      </c>
      <c r="AR1548" s="35">
        <v>0</v>
      </c>
    </row>
    <row r="1549" spans="43:44" x14ac:dyDescent="0.25">
      <c r="AQ1549" s="16">
        <v>388</v>
      </c>
      <c r="AR1549" s="35">
        <v>0</v>
      </c>
    </row>
    <row r="1550" spans="43:44" x14ac:dyDescent="0.25">
      <c r="AQ1550" s="136" t="s">
        <v>54</v>
      </c>
      <c r="AR1550" s="35">
        <v>0</v>
      </c>
    </row>
    <row r="1551" spans="43:44" x14ac:dyDescent="0.25">
      <c r="AQ1551" s="138" t="s">
        <v>54</v>
      </c>
      <c r="AR1551" s="35">
        <v>0</v>
      </c>
    </row>
    <row r="1552" spans="43:44" x14ac:dyDescent="0.25">
      <c r="AQ1552" s="139" t="s">
        <v>60</v>
      </c>
      <c r="AR1552" s="35">
        <v>0</v>
      </c>
    </row>
    <row r="1553" spans="43:44" x14ac:dyDescent="0.25">
      <c r="AQ1553" s="16">
        <v>389</v>
      </c>
      <c r="AR1553" s="35">
        <v>0</v>
      </c>
    </row>
    <row r="1554" spans="43:44" x14ac:dyDescent="0.25">
      <c r="AQ1554" s="136" t="s">
        <v>54</v>
      </c>
      <c r="AR1554" s="35">
        <v>0</v>
      </c>
    </row>
    <row r="1555" spans="43:44" x14ac:dyDescent="0.25">
      <c r="AQ1555" s="138" t="s">
        <v>54</v>
      </c>
      <c r="AR1555" s="35">
        <v>0</v>
      </c>
    </row>
    <row r="1556" spans="43:44" x14ac:dyDescent="0.25">
      <c r="AQ1556" s="139" t="s">
        <v>60</v>
      </c>
      <c r="AR1556" s="35">
        <v>0</v>
      </c>
    </row>
    <row r="1557" spans="43:44" x14ac:dyDescent="0.25">
      <c r="AQ1557" s="16">
        <v>390</v>
      </c>
      <c r="AR1557" s="35">
        <v>0</v>
      </c>
    </row>
    <row r="1558" spans="43:44" x14ac:dyDescent="0.25">
      <c r="AQ1558" s="136" t="s">
        <v>54</v>
      </c>
      <c r="AR1558" s="35">
        <v>0</v>
      </c>
    </row>
    <row r="1559" spans="43:44" x14ac:dyDescent="0.25">
      <c r="AQ1559" s="138" t="s">
        <v>54</v>
      </c>
      <c r="AR1559" s="35">
        <v>0</v>
      </c>
    </row>
    <row r="1560" spans="43:44" x14ac:dyDescent="0.25">
      <c r="AQ1560" s="139" t="s">
        <v>60</v>
      </c>
      <c r="AR1560" s="35">
        <v>0</v>
      </c>
    </row>
    <row r="1561" spans="43:44" x14ac:dyDescent="0.25">
      <c r="AQ1561" s="16">
        <v>391</v>
      </c>
      <c r="AR1561" s="35">
        <v>0</v>
      </c>
    </row>
    <row r="1562" spans="43:44" x14ac:dyDescent="0.25">
      <c r="AQ1562" s="136" t="s">
        <v>54</v>
      </c>
      <c r="AR1562" s="35">
        <v>0</v>
      </c>
    </row>
    <row r="1563" spans="43:44" x14ac:dyDescent="0.25">
      <c r="AQ1563" s="138" t="s">
        <v>54</v>
      </c>
      <c r="AR1563" s="35">
        <v>0</v>
      </c>
    </row>
    <row r="1564" spans="43:44" x14ac:dyDescent="0.25">
      <c r="AQ1564" s="139" t="s">
        <v>60</v>
      </c>
      <c r="AR1564" s="35">
        <v>0</v>
      </c>
    </row>
    <row r="1565" spans="43:44" x14ac:dyDescent="0.25">
      <c r="AQ1565" s="16">
        <v>392</v>
      </c>
      <c r="AR1565" s="35">
        <v>0</v>
      </c>
    </row>
    <row r="1566" spans="43:44" x14ac:dyDescent="0.25">
      <c r="AQ1566" s="136" t="s">
        <v>54</v>
      </c>
      <c r="AR1566" s="35">
        <v>0</v>
      </c>
    </row>
    <row r="1567" spans="43:44" x14ac:dyDescent="0.25">
      <c r="AQ1567" s="138" t="s">
        <v>54</v>
      </c>
      <c r="AR1567" s="35">
        <v>0</v>
      </c>
    </row>
    <row r="1568" spans="43:44" x14ac:dyDescent="0.25">
      <c r="AQ1568" s="139" t="s">
        <v>60</v>
      </c>
      <c r="AR1568" s="35">
        <v>0</v>
      </c>
    </row>
    <row r="1569" spans="43:44" x14ac:dyDescent="0.25">
      <c r="AQ1569" s="16">
        <v>393</v>
      </c>
      <c r="AR1569" s="35">
        <v>0</v>
      </c>
    </row>
    <row r="1570" spans="43:44" x14ac:dyDescent="0.25">
      <c r="AQ1570" s="136" t="s">
        <v>54</v>
      </c>
      <c r="AR1570" s="35">
        <v>0</v>
      </c>
    </row>
    <row r="1571" spans="43:44" x14ac:dyDescent="0.25">
      <c r="AQ1571" s="138" t="s">
        <v>54</v>
      </c>
      <c r="AR1571" s="35">
        <v>0</v>
      </c>
    </row>
    <row r="1572" spans="43:44" x14ac:dyDescent="0.25">
      <c r="AQ1572" s="139" t="s">
        <v>60</v>
      </c>
      <c r="AR1572" s="35">
        <v>0</v>
      </c>
    </row>
    <row r="1573" spans="43:44" x14ac:dyDescent="0.25">
      <c r="AQ1573" s="16">
        <v>394</v>
      </c>
      <c r="AR1573" s="35">
        <v>0</v>
      </c>
    </row>
    <row r="1574" spans="43:44" x14ac:dyDescent="0.25">
      <c r="AQ1574" s="136" t="s">
        <v>54</v>
      </c>
      <c r="AR1574" s="35">
        <v>0</v>
      </c>
    </row>
    <row r="1575" spans="43:44" x14ac:dyDescent="0.25">
      <c r="AQ1575" s="138" t="s">
        <v>54</v>
      </c>
      <c r="AR1575" s="35">
        <v>0</v>
      </c>
    </row>
    <row r="1576" spans="43:44" x14ac:dyDescent="0.25">
      <c r="AQ1576" s="139" t="s">
        <v>60</v>
      </c>
      <c r="AR1576" s="35">
        <v>0</v>
      </c>
    </row>
    <row r="1577" spans="43:44" x14ac:dyDescent="0.25">
      <c r="AQ1577" s="16">
        <v>395</v>
      </c>
      <c r="AR1577" s="35">
        <v>0</v>
      </c>
    </row>
    <row r="1578" spans="43:44" x14ac:dyDescent="0.25">
      <c r="AQ1578" s="136" t="s">
        <v>54</v>
      </c>
      <c r="AR1578" s="35">
        <v>0</v>
      </c>
    </row>
    <row r="1579" spans="43:44" x14ac:dyDescent="0.25">
      <c r="AQ1579" s="138" t="s">
        <v>54</v>
      </c>
      <c r="AR1579" s="35">
        <v>0</v>
      </c>
    </row>
    <row r="1580" spans="43:44" x14ac:dyDescent="0.25">
      <c r="AQ1580" s="139" t="s">
        <v>60</v>
      </c>
      <c r="AR1580" s="35">
        <v>0</v>
      </c>
    </row>
    <row r="1581" spans="43:44" x14ac:dyDescent="0.25">
      <c r="AQ1581" s="16">
        <v>396</v>
      </c>
      <c r="AR1581" s="35">
        <v>0</v>
      </c>
    </row>
    <row r="1582" spans="43:44" x14ac:dyDescent="0.25">
      <c r="AQ1582" s="136" t="s">
        <v>54</v>
      </c>
      <c r="AR1582" s="35">
        <v>0</v>
      </c>
    </row>
    <row r="1583" spans="43:44" x14ac:dyDescent="0.25">
      <c r="AQ1583" s="138" t="s">
        <v>54</v>
      </c>
      <c r="AR1583" s="35">
        <v>0</v>
      </c>
    </row>
    <row r="1584" spans="43:44" x14ac:dyDescent="0.25">
      <c r="AQ1584" s="139" t="s">
        <v>60</v>
      </c>
      <c r="AR1584" s="35">
        <v>0</v>
      </c>
    </row>
    <row r="1585" spans="43:44" x14ac:dyDescent="0.25">
      <c r="AQ1585" s="16">
        <v>397</v>
      </c>
      <c r="AR1585" s="35">
        <v>0</v>
      </c>
    </row>
    <row r="1586" spans="43:44" x14ac:dyDescent="0.25">
      <c r="AQ1586" s="136" t="s">
        <v>54</v>
      </c>
      <c r="AR1586" s="35">
        <v>0</v>
      </c>
    </row>
    <row r="1587" spans="43:44" x14ac:dyDescent="0.25">
      <c r="AQ1587" s="138" t="s">
        <v>54</v>
      </c>
      <c r="AR1587" s="35">
        <v>0</v>
      </c>
    </row>
    <row r="1588" spans="43:44" x14ac:dyDescent="0.25">
      <c r="AQ1588" s="139" t="s">
        <v>60</v>
      </c>
      <c r="AR1588" s="35">
        <v>0</v>
      </c>
    </row>
    <row r="1589" spans="43:44" x14ac:dyDescent="0.25">
      <c r="AQ1589" s="16">
        <v>398</v>
      </c>
      <c r="AR1589" s="35">
        <v>0</v>
      </c>
    </row>
    <row r="1590" spans="43:44" x14ac:dyDescent="0.25">
      <c r="AQ1590" s="136" t="s">
        <v>54</v>
      </c>
      <c r="AR1590" s="35">
        <v>0</v>
      </c>
    </row>
    <row r="1591" spans="43:44" x14ac:dyDescent="0.25">
      <c r="AQ1591" s="138" t="s">
        <v>54</v>
      </c>
      <c r="AR1591" s="35">
        <v>0</v>
      </c>
    </row>
    <row r="1592" spans="43:44" x14ac:dyDescent="0.25">
      <c r="AQ1592" s="139" t="s">
        <v>60</v>
      </c>
      <c r="AR1592" s="35">
        <v>0</v>
      </c>
    </row>
    <row r="1593" spans="43:44" x14ac:dyDescent="0.25">
      <c r="AQ1593" s="16">
        <v>399</v>
      </c>
      <c r="AR1593" s="35">
        <v>0</v>
      </c>
    </row>
    <row r="1594" spans="43:44" x14ac:dyDescent="0.25">
      <c r="AQ1594" s="136" t="s">
        <v>54</v>
      </c>
      <c r="AR1594" s="35">
        <v>0</v>
      </c>
    </row>
    <row r="1595" spans="43:44" x14ac:dyDescent="0.25">
      <c r="AQ1595" s="138" t="s">
        <v>54</v>
      </c>
      <c r="AR1595" s="35">
        <v>0</v>
      </c>
    </row>
    <row r="1596" spans="43:44" x14ac:dyDescent="0.25">
      <c r="AQ1596" s="139" t="s">
        <v>60</v>
      </c>
      <c r="AR1596" s="35">
        <v>0</v>
      </c>
    </row>
    <row r="1597" spans="43:44" x14ac:dyDescent="0.25">
      <c r="AQ1597" s="16">
        <v>400</v>
      </c>
      <c r="AR1597" s="35">
        <v>0</v>
      </c>
    </row>
    <row r="1598" spans="43:44" x14ac:dyDescent="0.25">
      <c r="AQ1598" s="136" t="s">
        <v>54</v>
      </c>
      <c r="AR1598" s="35">
        <v>0</v>
      </c>
    </row>
    <row r="1599" spans="43:44" x14ac:dyDescent="0.25">
      <c r="AQ1599" s="138" t="s">
        <v>54</v>
      </c>
      <c r="AR1599" s="35">
        <v>0</v>
      </c>
    </row>
    <row r="1600" spans="43:44" x14ac:dyDescent="0.25">
      <c r="AQ1600" s="139" t="s">
        <v>60</v>
      </c>
      <c r="AR1600" s="35">
        <v>0</v>
      </c>
    </row>
    <row r="1601" spans="43:44" x14ac:dyDescent="0.25">
      <c r="AQ1601" s="16">
        <v>401</v>
      </c>
      <c r="AR1601" s="35">
        <v>0</v>
      </c>
    </row>
    <row r="1602" spans="43:44" x14ac:dyDescent="0.25">
      <c r="AQ1602" s="136" t="s">
        <v>54</v>
      </c>
      <c r="AR1602" s="35">
        <v>0</v>
      </c>
    </row>
    <row r="1603" spans="43:44" x14ac:dyDescent="0.25">
      <c r="AQ1603" s="138" t="s">
        <v>54</v>
      </c>
      <c r="AR1603" s="35">
        <v>0</v>
      </c>
    </row>
    <row r="1604" spans="43:44" x14ac:dyDescent="0.25">
      <c r="AQ1604" s="139" t="s">
        <v>60</v>
      </c>
      <c r="AR1604" s="35">
        <v>0</v>
      </c>
    </row>
    <row r="1605" spans="43:44" x14ac:dyDescent="0.25">
      <c r="AQ1605" s="16">
        <v>402</v>
      </c>
      <c r="AR1605" s="35">
        <v>0</v>
      </c>
    </row>
    <row r="1606" spans="43:44" x14ac:dyDescent="0.25">
      <c r="AQ1606" s="136" t="s">
        <v>54</v>
      </c>
      <c r="AR1606" s="35">
        <v>0</v>
      </c>
    </row>
    <row r="1607" spans="43:44" x14ac:dyDescent="0.25">
      <c r="AQ1607" s="138" t="s">
        <v>54</v>
      </c>
      <c r="AR1607" s="35">
        <v>0</v>
      </c>
    </row>
    <row r="1608" spans="43:44" x14ac:dyDescent="0.25">
      <c r="AQ1608" s="139" t="s">
        <v>60</v>
      </c>
      <c r="AR1608" s="35">
        <v>0</v>
      </c>
    </row>
    <row r="1609" spans="43:44" x14ac:dyDescent="0.25">
      <c r="AQ1609" s="16">
        <v>403</v>
      </c>
      <c r="AR1609" s="35">
        <v>0</v>
      </c>
    </row>
    <row r="1610" spans="43:44" x14ac:dyDescent="0.25">
      <c r="AQ1610" s="136" t="s">
        <v>54</v>
      </c>
      <c r="AR1610" s="35">
        <v>0</v>
      </c>
    </row>
    <row r="1611" spans="43:44" x14ac:dyDescent="0.25">
      <c r="AQ1611" s="138" t="s">
        <v>54</v>
      </c>
      <c r="AR1611" s="35">
        <v>0</v>
      </c>
    </row>
    <row r="1612" spans="43:44" x14ac:dyDescent="0.25">
      <c r="AQ1612" s="139" t="s">
        <v>60</v>
      </c>
      <c r="AR1612" s="35">
        <v>0</v>
      </c>
    </row>
    <row r="1613" spans="43:44" x14ac:dyDescent="0.25">
      <c r="AQ1613" s="16">
        <v>404</v>
      </c>
      <c r="AR1613" s="35">
        <v>0</v>
      </c>
    </row>
    <row r="1614" spans="43:44" x14ac:dyDescent="0.25">
      <c r="AQ1614" s="136" t="s">
        <v>54</v>
      </c>
      <c r="AR1614" s="35">
        <v>0</v>
      </c>
    </row>
    <row r="1615" spans="43:44" x14ac:dyDescent="0.25">
      <c r="AQ1615" s="138" t="s">
        <v>54</v>
      </c>
      <c r="AR1615" s="35">
        <v>0</v>
      </c>
    </row>
    <row r="1616" spans="43:44" x14ac:dyDescent="0.25">
      <c r="AQ1616" s="139" t="s">
        <v>60</v>
      </c>
      <c r="AR1616" s="35">
        <v>0</v>
      </c>
    </row>
    <row r="1617" spans="43:44" x14ac:dyDescent="0.25">
      <c r="AQ1617" s="16">
        <v>405</v>
      </c>
      <c r="AR1617" s="35">
        <v>0</v>
      </c>
    </row>
    <row r="1618" spans="43:44" x14ac:dyDescent="0.25">
      <c r="AQ1618" s="136" t="s">
        <v>54</v>
      </c>
      <c r="AR1618" s="35">
        <v>0</v>
      </c>
    </row>
    <row r="1619" spans="43:44" x14ac:dyDescent="0.25">
      <c r="AQ1619" s="138" t="s">
        <v>54</v>
      </c>
      <c r="AR1619" s="35">
        <v>0</v>
      </c>
    </row>
    <row r="1620" spans="43:44" x14ac:dyDescent="0.25">
      <c r="AQ1620" s="139" t="s">
        <v>60</v>
      </c>
      <c r="AR1620" s="35">
        <v>0</v>
      </c>
    </row>
    <row r="1621" spans="43:44" x14ac:dyDescent="0.25">
      <c r="AQ1621" s="16">
        <v>406</v>
      </c>
      <c r="AR1621" s="35">
        <v>0</v>
      </c>
    </row>
    <row r="1622" spans="43:44" x14ac:dyDescent="0.25">
      <c r="AQ1622" s="136" t="s">
        <v>54</v>
      </c>
      <c r="AR1622" s="35">
        <v>0</v>
      </c>
    </row>
    <row r="1623" spans="43:44" x14ac:dyDescent="0.25">
      <c r="AQ1623" s="138" t="s">
        <v>54</v>
      </c>
      <c r="AR1623" s="35">
        <v>0</v>
      </c>
    </row>
    <row r="1624" spans="43:44" x14ac:dyDescent="0.25">
      <c r="AQ1624" s="139" t="s">
        <v>60</v>
      </c>
      <c r="AR1624" s="35">
        <v>0</v>
      </c>
    </row>
    <row r="1625" spans="43:44" x14ac:dyDescent="0.25">
      <c r="AQ1625" s="16">
        <v>407</v>
      </c>
      <c r="AR1625" s="35">
        <v>0</v>
      </c>
    </row>
    <row r="1626" spans="43:44" x14ac:dyDescent="0.25">
      <c r="AQ1626" s="136" t="s">
        <v>54</v>
      </c>
      <c r="AR1626" s="35">
        <v>0</v>
      </c>
    </row>
    <row r="1627" spans="43:44" x14ac:dyDescent="0.25">
      <c r="AQ1627" s="138" t="s">
        <v>54</v>
      </c>
      <c r="AR1627" s="35">
        <v>0</v>
      </c>
    </row>
    <row r="1628" spans="43:44" x14ac:dyDescent="0.25">
      <c r="AQ1628" s="139" t="s">
        <v>60</v>
      </c>
      <c r="AR1628" s="35">
        <v>0</v>
      </c>
    </row>
    <row r="1629" spans="43:44" x14ac:dyDescent="0.25">
      <c r="AQ1629" s="16">
        <v>408</v>
      </c>
      <c r="AR1629" s="35">
        <v>0</v>
      </c>
    </row>
    <row r="1630" spans="43:44" x14ac:dyDescent="0.25">
      <c r="AQ1630" s="136" t="s">
        <v>54</v>
      </c>
      <c r="AR1630" s="35">
        <v>0</v>
      </c>
    </row>
    <row r="1631" spans="43:44" x14ac:dyDescent="0.25">
      <c r="AQ1631" s="138" t="s">
        <v>54</v>
      </c>
      <c r="AR1631" s="35">
        <v>0</v>
      </c>
    </row>
    <row r="1632" spans="43:44" x14ac:dyDescent="0.25">
      <c r="AQ1632" s="139" t="s">
        <v>60</v>
      </c>
      <c r="AR1632" s="35">
        <v>0</v>
      </c>
    </row>
    <row r="1633" spans="43:44" x14ac:dyDescent="0.25">
      <c r="AQ1633" s="16">
        <v>409</v>
      </c>
      <c r="AR1633" s="35">
        <v>0</v>
      </c>
    </row>
    <row r="1634" spans="43:44" x14ac:dyDescent="0.25">
      <c r="AQ1634" s="136" t="s">
        <v>54</v>
      </c>
      <c r="AR1634" s="35">
        <v>0</v>
      </c>
    </row>
    <row r="1635" spans="43:44" x14ac:dyDescent="0.25">
      <c r="AQ1635" s="138" t="s">
        <v>54</v>
      </c>
      <c r="AR1635" s="35">
        <v>0</v>
      </c>
    </row>
    <row r="1636" spans="43:44" x14ac:dyDescent="0.25">
      <c r="AQ1636" s="139" t="s">
        <v>60</v>
      </c>
      <c r="AR1636" s="35">
        <v>0</v>
      </c>
    </row>
    <row r="1637" spans="43:44" x14ac:dyDescent="0.25">
      <c r="AQ1637" s="16">
        <v>410</v>
      </c>
      <c r="AR1637" s="35">
        <v>0</v>
      </c>
    </row>
    <row r="1638" spans="43:44" x14ac:dyDescent="0.25">
      <c r="AQ1638" s="136" t="s">
        <v>54</v>
      </c>
      <c r="AR1638" s="35">
        <v>0</v>
      </c>
    </row>
    <row r="1639" spans="43:44" x14ac:dyDescent="0.25">
      <c r="AQ1639" s="138" t="s">
        <v>54</v>
      </c>
      <c r="AR1639" s="35">
        <v>0</v>
      </c>
    </row>
    <row r="1640" spans="43:44" x14ac:dyDescent="0.25">
      <c r="AQ1640" s="139" t="s">
        <v>60</v>
      </c>
      <c r="AR1640" s="35">
        <v>0</v>
      </c>
    </row>
    <row r="1641" spans="43:44" x14ac:dyDescent="0.25">
      <c r="AQ1641" s="16">
        <v>411</v>
      </c>
      <c r="AR1641" s="35">
        <v>0</v>
      </c>
    </row>
    <row r="1642" spans="43:44" x14ac:dyDescent="0.25">
      <c r="AQ1642" s="136" t="s">
        <v>54</v>
      </c>
      <c r="AR1642" s="35">
        <v>0</v>
      </c>
    </row>
    <row r="1643" spans="43:44" x14ac:dyDescent="0.25">
      <c r="AQ1643" s="138" t="s">
        <v>54</v>
      </c>
      <c r="AR1643" s="35">
        <v>0</v>
      </c>
    </row>
    <row r="1644" spans="43:44" x14ac:dyDescent="0.25">
      <c r="AQ1644" s="139" t="s">
        <v>60</v>
      </c>
      <c r="AR1644" s="35">
        <v>0</v>
      </c>
    </row>
    <row r="1645" spans="43:44" x14ac:dyDescent="0.25">
      <c r="AQ1645" s="16">
        <v>412</v>
      </c>
      <c r="AR1645" s="35">
        <v>0</v>
      </c>
    </row>
    <row r="1646" spans="43:44" x14ac:dyDescent="0.25">
      <c r="AQ1646" s="136" t="s">
        <v>54</v>
      </c>
      <c r="AR1646" s="35">
        <v>0</v>
      </c>
    </row>
    <row r="1647" spans="43:44" x14ac:dyDescent="0.25">
      <c r="AQ1647" s="138" t="s">
        <v>54</v>
      </c>
      <c r="AR1647" s="35">
        <v>0</v>
      </c>
    </row>
    <row r="1648" spans="43:44" x14ac:dyDescent="0.25">
      <c r="AQ1648" s="139" t="s">
        <v>60</v>
      </c>
      <c r="AR1648" s="35">
        <v>0</v>
      </c>
    </row>
    <row r="1649" spans="43:44" x14ac:dyDescent="0.25">
      <c r="AQ1649" s="16">
        <v>413</v>
      </c>
      <c r="AR1649" s="35">
        <v>0</v>
      </c>
    </row>
    <row r="1650" spans="43:44" x14ac:dyDescent="0.25">
      <c r="AQ1650" s="136" t="s">
        <v>54</v>
      </c>
      <c r="AR1650" s="35">
        <v>0</v>
      </c>
    </row>
    <row r="1651" spans="43:44" x14ac:dyDescent="0.25">
      <c r="AQ1651" s="138" t="s">
        <v>54</v>
      </c>
      <c r="AR1651" s="35">
        <v>0</v>
      </c>
    </row>
    <row r="1652" spans="43:44" x14ac:dyDescent="0.25">
      <c r="AQ1652" s="139" t="s">
        <v>60</v>
      </c>
      <c r="AR1652" s="35">
        <v>0</v>
      </c>
    </row>
    <row r="1653" spans="43:44" x14ac:dyDescent="0.25">
      <c r="AQ1653" s="16">
        <v>414</v>
      </c>
      <c r="AR1653" s="35">
        <v>0</v>
      </c>
    </row>
    <row r="1654" spans="43:44" x14ac:dyDescent="0.25">
      <c r="AQ1654" s="136" t="s">
        <v>54</v>
      </c>
      <c r="AR1654" s="35">
        <v>0</v>
      </c>
    </row>
    <row r="1655" spans="43:44" x14ac:dyDescent="0.25">
      <c r="AQ1655" s="138" t="s">
        <v>54</v>
      </c>
      <c r="AR1655" s="35">
        <v>0</v>
      </c>
    </row>
    <row r="1656" spans="43:44" x14ac:dyDescent="0.25">
      <c r="AQ1656" s="139" t="s">
        <v>60</v>
      </c>
      <c r="AR1656" s="35">
        <v>0</v>
      </c>
    </row>
    <row r="1657" spans="43:44" x14ac:dyDescent="0.25">
      <c r="AQ1657" s="16">
        <v>415</v>
      </c>
      <c r="AR1657" s="35">
        <v>0</v>
      </c>
    </row>
    <row r="1658" spans="43:44" x14ac:dyDescent="0.25">
      <c r="AQ1658" s="136" t="s">
        <v>54</v>
      </c>
      <c r="AR1658" s="35">
        <v>0</v>
      </c>
    </row>
    <row r="1659" spans="43:44" x14ac:dyDescent="0.25">
      <c r="AQ1659" s="138" t="s">
        <v>54</v>
      </c>
      <c r="AR1659" s="35">
        <v>0</v>
      </c>
    </row>
    <row r="1660" spans="43:44" x14ac:dyDescent="0.25">
      <c r="AQ1660" s="139" t="s">
        <v>60</v>
      </c>
      <c r="AR1660" s="35">
        <v>0</v>
      </c>
    </row>
    <row r="1661" spans="43:44" x14ac:dyDescent="0.25">
      <c r="AQ1661" s="16">
        <v>416</v>
      </c>
      <c r="AR1661" s="35">
        <v>0</v>
      </c>
    </row>
    <row r="1662" spans="43:44" x14ac:dyDescent="0.25">
      <c r="AQ1662" s="136" t="s">
        <v>54</v>
      </c>
      <c r="AR1662" s="35">
        <v>0</v>
      </c>
    </row>
    <row r="1663" spans="43:44" x14ac:dyDescent="0.25">
      <c r="AQ1663" s="138" t="s">
        <v>54</v>
      </c>
      <c r="AR1663" s="35">
        <v>0</v>
      </c>
    </row>
    <row r="1664" spans="43:44" x14ac:dyDescent="0.25">
      <c r="AQ1664" s="139" t="s">
        <v>60</v>
      </c>
      <c r="AR1664" s="35">
        <v>0</v>
      </c>
    </row>
    <row r="1665" spans="43:44" x14ac:dyDescent="0.25">
      <c r="AQ1665" s="16">
        <v>417</v>
      </c>
      <c r="AR1665" s="35">
        <v>0</v>
      </c>
    </row>
    <row r="1666" spans="43:44" x14ac:dyDescent="0.25">
      <c r="AQ1666" s="136" t="s">
        <v>54</v>
      </c>
      <c r="AR1666" s="35">
        <v>0</v>
      </c>
    </row>
    <row r="1667" spans="43:44" x14ac:dyDescent="0.25">
      <c r="AQ1667" s="138" t="s">
        <v>54</v>
      </c>
      <c r="AR1667" s="35">
        <v>0</v>
      </c>
    </row>
    <row r="1668" spans="43:44" x14ac:dyDescent="0.25">
      <c r="AQ1668" s="139" t="s">
        <v>60</v>
      </c>
      <c r="AR1668" s="35">
        <v>0</v>
      </c>
    </row>
    <row r="1669" spans="43:44" x14ac:dyDescent="0.25">
      <c r="AQ1669" s="16">
        <v>418</v>
      </c>
      <c r="AR1669" s="35">
        <v>0</v>
      </c>
    </row>
    <row r="1670" spans="43:44" x14ac:dyDescent="0.25">
      <c r="AQ1670" s="136" t="s">
        <v>54</v>
      </c>
      <c r="AR1670" s="35">
        <v>0</v>
      </c>
    </row>
    <row r="1671" spans="43:44" x14ac:dyDescent="0.25">
      <c r="AQ1671" s="138" t="s">
        <v>54</v>
      </c>
      <c r="AR1671" s="35">
        <v>0</v>
      </c>
    </row>
    <row r="1672" spans="43:44" x14ac:dyDescent="0.25">
      <c r="AQ1672" s="139" t="s">
        <v>60</v>
      </c>
      <c r="AR1672" s="35">
        <v>0</v>
      </c>
    </row>
    <row r="1673" spans="43:44" x14ac:dyDescent="0.25">
      <c r="AQ1673" s="16">
        <v>419</v>
      </c>
      <c r="AR1673" s="35">
        <v>0</v>
      </c>
    </row>
    <row r="1674" spans="43:44" x14ac:dyDescent="0.25">
      <c r="AQ1674" s="136" t="s">
        <v>54</v>
      </c>
      <c r="AR1674" s="35">
        <v>0</v>
      </c>
    </row>
    <row r="1675" spans="43:44" x14ac:dyDescent="0.25">
      <c r="AQ1675" s="138" t="s">
        <v>54</v>
      </c>
      <c r="AR1675" s="35">
        <v>0</v>
      </c>
    </row>
    <row r="1676" spans="43:44" x14ac:dyDescent="0.25">
      <c r="AQ1676" s="139" t="s">
        <v>60</v>
      </c>
      <c r="AR1676" s="35">
        <v>0</v>
      </c>
    </row>
    <row r="1677" spans="43:44" x14ac:dyDescent="0.25">
      <c r="AQ1677" s="16">
        <v>420</v>
      </c>
      <c r="AR1677" s="35">
        <v>0</v>
      </c>
    </row>
    <row r="1678" spans="43:44" x14ac:dyDescent="0.25">
      <c r="AQ1678" s="136" t="s">
        <v>54</v>
      </c>
      <c r="AR1678" s="35">
        <v>0</v>
      </c>
    </row>
    <row r="1679" spans="43:44" x14ac:dyDescent="0.25">
      <c r="AQ1679" s="138" t="s">
        <v>54</v>
      </c>
      <c r="AR1679" s="35">
        <v>0</v>
      </c>
    </row>
    <row r="1680" spans="43:44" x14ac:dyDescent="0.25">
      <c r="AQ1680" s="139" t="s">
        <v>60</v>
      </c>
      <c r="AR1680" s="35">
        <v>0</v>
      </c>
    </row>
    <row r="1681" spans="43:44" x14ac:dyDescent="0.25">
      <c r="AQ1681" s="16">
        <v>421</v>
      </c>
      <c r="AR1681" s="35">
        <v>0</v>
      </c>
    </row>
    <row r="1682" spans="43:44" x14ac:dyDescent="0.25">
      <c r="AQ1682" s="136" t="s">
        <v>54</v>
      </c>
      <c r="AR1682" s="35">
        <v>0</v>
      </c>
    </row>
    <row r="1683" spans="43:44" x14ac:dyDescent="0.25">
      <c r="AQ1683" s="138" t="s">
        <v>54</v>
      </c>
      <c r="AR1683" s="35">
        <v>0</v>
      </c>
    </row>
    <row r="1684" spans="43:44" x14ac:dyDescent="0.25">
      <c r="AQ1684" s="139" t="s">
        <v>60</v>
      </c>
      <c r="AR1684" s="35">
        <v>0</v>
      </c>
    </row>
    <row r="1685" spans="43:44" x14ac:dyDescent="0.25">
      <c r="AQ1685" s="16">
        <v>422</v>
      </c>
      <c r="AR1685" s="35">
        <v>0</v>
      </c>
    </row>
    <row r="1686" spans="43:44" x14ac:dyDescent="0.25">
      <c r="AQ1686" s="136" t="s">
        <v>54</v>
      </c>
      <c r="AR1686" s="35">
        <v>0</v>
      </c>
    </row>
    <row r="1687" spans="43:44" x14ac:dyDescent="0.25">
      <c r="AQ1687" s="138" t="s">
        <v>54</v>
      </c>
      <c r="AR1687" s="35">
        <v>0</v>
      </c>
    </row>
    <row r="1688" spans="43:44" x14ac:dyDescent="0.25">
      <c r="AQ1688" s="139" t="s">
        <v>60</v>
      </c>
      <c r="AR1688" s="35">
        <v>0</v>
      </c>
    </row>
    <row r="1689" spans="43:44" x14ac:dyDescent="0.25">
      <c r="AQ1689" s="16">
        <v>423</v>
      </c>
      <c r="AR1689" s="35">
        <v>0</v>
      </c>
    </row>
    <row r="1690" spans="43:44" x14ac:dyDescent="0.25">
      <c r="AQ1690" s="136" t="s">
        <v>54</v>
      </c>
      <c r="AR1690" s="35">
        <v>0</v>
      </c>
    </row>
    <row r="1691" spans="43:44" x14ac:dyDescent="0.25">
      <c r="AQ1691" s="138" t="s">
        <v>54</v>
      </c>
      <c r="AR1691" s="35">
        <v>0</v>
      </c>
    </row>
    <row r="1692" spans="43:44" x14ac:dyDescent="0.25">
      <c r="AQ1692" s="139" t="s">
        <v>60</v>
      </c>
      <c r="AR1692" s="35">
        <v>0</v>
      </c>
    </row>
    <row r="1693" spans="43:44" x14ac:dyDescent="0.25">
      <c r="AQ1693" s="16">
        <v>424</v>
      </c>
      <c r="AR1693" s="35">
        <v>0</v>
      </c>
    </row>
    <row r="1694" spans="43:44" x14ac:dyDescent="0.25">
      <c r="AQ1694" s="136" t="s">
        <v>54</v>
      </c>
      <c r="AR1694" s="35">
        <v>0</v>
      </c>
    </row>
    <row r="1695" spans="43:44" x14ac:dyDescent="0.25">
      <c r="AQ1695" s="138" t="s">
        <v>54</v>
      </c>
      <c r="AR1695" s="35">
        <v>0</v>
      </c>
    </row>
    <row r="1696" spans="43:44" x14ac:dyDescent="0.25">
      <c r="AQ1696" s="139" t="s">
        <v>60</v>
      </c>
      <c r="AR1696" s="35">
        <v>0</v>
      </c>
    </row>
    <row r="1697" spans="43:44" x14ac:dyDescent="0.25">
      <c r="AQ1697" s="16">
        <v>425</v>
      </c>
      <c r="AR1697" s="35">
        <v>0</v>
      </c>
    </row>
    <row r="1698" spans="43:44" x14ac:dyDescent="0.25">
      <c r="AQ1698" s="136" t="s">
        <v>54</v>
      </c>
      <c r="AR1698" s="35">
        <v>0</v>
      </c>
    </row>
    <row r="1699" spans="43:44" x14ac:dyDescent="0.25">
      <c r="AQ1699" s="138" t="s">
        <v>54</v>
      </c>
      <c r="AR1699" s="35">
        <v>0</v>
      </c>
    </row>
    <row r="1700" spans="43:44" x14ac:dyDescent="0.25">
      <c r="AQ1700" s="139" t="s">
        <v>60</v>
      </c>
      <c r="AR1700" s="35">
        <v>0</v>
      </c>
    </row>
    <row r="1701" spans="43:44" x14ac:dyDescent="0.25">
      <c r="AQ1701" s="16">
        <v>426</v>
      </c>
      <c r="AR1701" s="35">
        <v>0</v>
      </c>
    </row>
    <row r="1702" spans="43:44" x14ac:dyDescent="0.25">
      <c r="AQ1702" s="136" t="s">
        <v>54</v>
      </c>
      <c r="AR1702" s="35">
        <v>0</v>
      </c>
    </row>
    <row r="1703" spans="43:44" x14ac:dyDescent="0.25">
      <c r="AQ1703" s="138" t="s">
        <v>54</v>
      </c>
      <c r="AR1703" s="35">
        <v>0</v>
      </c>
    </row>
    <row r="1704" spans="43:44" x14ac:dyDescent="0.25">
      <c r="AQ1704" s="139" t="s">
        <v>60</v>
      </c>
      <c r="AR1704" s="35">
        <v>0</v>
      </c>
    </row>
    <row r="1705" spans="43:44" x14ac:dyDescent="0.25">
      <c r="AQ1705" s="16">
        <v>427</v>
      </c>
      <c r="AR1705" s="35">
        <v>0</v>
      </c>
    </row>
    <row r="1706" spans="43:44" x14ac:dyDescent="0.25">
      <c r="AQ1706" s="136" t="s">
        <v>54</v>
      </c>
      <c r="AR1706" s="35">
        <v>0</v>
      </c>
    </row>
    <row r="1707" spans="43:44" x14ac:dyDescent="0.25">
      <c r="AQ1707" s="138" t="s">
        <v>54</v>
      </c>
      <c r="AR1707" s="35">
        <v>0</v>
      </c>
    </row>
    <row r="1708" spans="43:44" x14ac:dyDescent="0.25">
      <c r="AQ1708" s="139" t="s">
        <v>60</v>
      </c>
      <c r="AR1708" s="35">
        <v>0</v>
      </c>
    </row>
    <row r="1709" spans="43:44" x14ac:dyDescent="0.25">
      <c r="AQ1709" s="16">
        <v>428</v>
      </c>
      <c r="AR1709" s="35">
        <v>0</v>
      </c>
    </row>
    <row r="1710" spans="43:44" x14ac:dyDescent="0.25">
      <c r="AQ1710" s="136" t="s">
        <v>54</v>
      </c>
      <c r="AR1710" s="35">
        <v>0</v>
      </c>
    </row>
    <row r="1711" spans="43:44" x14ac:dyDescent="0.25">
      <c r="AQ1711" s="138" t="s">
        <v>54</v>
      </c>
      <c r="AR1711" s="35">
        <v>0</v>
      </c>
    </row>
    <row r="1712" spans="43:44" x14ac:dyDescent="0.25">
      <c r="AQ1712" s="139" t="s">
        <v>60</v>
      </c>
      <c r="AR1712" s="35">
        <v>0</v>
      </c>
    </row>
    <row r="1713" spans="43:44" x14ac:dyDescent="0.25">
      <c r="AQ1713" s="16">
        <v>429</v>
      </c>
      <c r="AR1713" s="35">
        <v>0</v>
      </c>
    </row>
    <row r="1714" spans="43:44" x14ac:dyDescent="0.25">
      <c r="AQ1714" s="136" t="s">
        <v>54</v>
      </c>
      <c r="AR1714" s="35">
        <v>0</v>
      </c>
    </row>
    <row r="1715" spans="43:44" x14ac:dyDescent="0.25">
      <c r="AQ1715" s="138" t="s">
        <v>54</v>
      </c>
      <c r="AR1715" s="35">
        <v>0</v>
      </c>
    </row>
    <row r="1716" spans="43:44" x14ac:dyDescent="0.25">
      <c r="AQ1716" s="139" t="s">
        <v>60</v>
      </c>
      <c r="AR1716" s="35">
        <v>0</v>
      </c>
    </row>
    <row r="1717" spans="43:44" x14ac:dyDescent="0.25">
      <c r="AQ1717" s="16">
        <v>430</v>
      </c>
      <c r="AR1717" s="35">
        <v>0</v>
      </c>
    </row>
    <row r="1718" spans="43:44" x14ac:dyDescent="0.25">
      <c r="AQ1718" s="136" t="s">
        <v>54</v>
      </c>
      <c r="AR1718" s="35">
        <v>0</v>
      </c>
    </row>
    <row r="1719" spans="43:44" x14ac:dyDescent="0.25">
      <c r="AQ1719" s="138" t="s">
        <v>54</v>
      </c>
      <c r="AR1719" s="35">
        <v>0</v>
      </c>
    </row>
    <row r="1720" spans="43:44" x14ac:dyDescent="0.25">
      <c r="AQ1720" s="139" t="s">
        <v>60</v>
      </c>
      <c r="AR1720" s="35">
        <v>0</v>
      </c>
    </row>
    <row r="1721" spans="43:44" x14ac:dyDescent="0.25">
      <c r="AQ1721" s="16">
        <v>431</v>
      </c>
      <c r="AR1721" s="35">
        <v>0</v>
      </c>
    </row>
    <row r="1722" spans="43:44" x14ac:dyDescent="0.25">
      <c r="AQ1722" s="136" t="s">
        <v>54</v>
      </c>
      <c r="AR1722" s="35">
        <v>0</v>
      </c>
    </row>
    <row r="1723" spans="43:44" x14ac:dyDescent="0.25">
      <c r="AQ1723" s="138" t="s">
        <v>54</v>
      </c>
      <c r="AR1723" s="35">
        <v>0</v>
      </c>
    </row>
    <row r="1724" spans="43:44" x14ac:dyDescent="0.25">
      <c r="AQ1724" s="139" t="s">
        <v>60</v>
      </c>
      <c r="AR1724" s="35">
        <v>0</v>
      </c>
    </row>
    <row r="1725" spans="43:44" x14ac:dyDescent="0.25">
      <c r="AQ1725" s="16">
        <v>432</v>
      </c>
      <c r="AR1725" s="35">
        <v>0</v>
      </c>
    </row>
    <row r="1726" spans="43:44" x14ac:dyDescent="0.25">
      <c r="AQ1726" s="136" t="s">
        <v>54</v>
      </c>
      <c r="AR1726" s="35">
        <v>0</v>
      </c>
    </row>
    <row r="1727" spans="43:44" x14ac:dyDescent="0.25">
      <c r="AQ1727" s="138" t="s">
        <v>54</v>
      </c>
      <c r="AR1727" s="35">
        <v>0</v>
      </c>
    </row>
    <row r="1728" spans="43:44" x14ac:dyDescent="0.25">
      <c r="AQ1728" s="139" t="s">
        <v>60</v>
      </c>
      <c r="AR1728" s="35">
        <v>0</v>
      </c>
    </row>
    <row r="1729" spans="43:44" x14ac:dyDescent="0.25">
      <c r="AQ1729" s="16">
        <v>433</v>
      </c>
      <c r="AR1729" s="35">
        <v>0</v>
      </c>
    </row>
    <row r="1730" spans="43:44" x14ac:dyDescent="0.25">
      <c r="AQ1730" s="136" t="s">
        <v>54</v>
      </c>
      <c r="AR1730" s="35">
        <v>0</v>
      </c>
    </row>
    <row r="1731" spans="43:44" x14ac:dyDescent="0.25">
      <c r="AQ1731" s="138" t="s">
        <v>54</v>
      </c>
      <c r="AR1731" s="35">
        <v>0</v>
      </c>
    </row>
    <row r="1732" spans="43:44" x14ac:dyDescent="0.25">
      <c r="AQ1732" s="139" t="s">
        <v>60</v>
      </c>
      <c r="AR1732" s="35">
        <v>0</v>
      </c>
    </row>
    <row r="1733" spans="43:44" x14ac:dyDescent="0.25">
      <c r="AQ1733" s="16">
        <v>434</v>
      </c>
      <c r="AR1733" s="35">
        <v>0</v>
      </c>
    </row>
    <row r="1734" spans="43:44" x14ac:dyDescent="0.25">
      <c r="AQ1734" s="136" t="s">
        <v>54</v>
      </c>
      <c r="AR1734" s="35">
        <v>0</v>
      </c>
    </row>
    <row r="1735" spans="43:44" x14ac:dyDescent="0.25">
      <c r="AQ1735" s="138" t="s">
        <v>54</v>
      </c>
      <c r="AR1735" s="35">
        <v>0</v>
      </c>
    </row>
    <row r="1736" spans="43:44" x14ac:dyDescent="0.25">
      <c r="AQ1736" s="139" t="s">
        <v>60</v>
      </c>
      <c r="AR1736" s="35">
        <v>0</v>
      </c>
    </row>
    <row r="1737" spans="43:44" x14ac:dyDescent="0.25">
      <c r="AQ1737" s="16">
        <v>435</v>
      </c>
      <c r="AR1737" s="35">
        <v>0</v>
      </c>
    </row>
    <row r="1738" spans="43:44" x14ac:dyDescent="0.25">
      <c r="AQ1738" s="136" t="s">
        <v>54</v>
      </c>
      <c r="AR1738" s="35">
        <v>0</v>
      </c>
    </row>
    <row r="1739" spans="43:44" x14ac:dyDescent="0.25">
      <c r="AQ1739" s="138" t="s">
        <v>54</v>
      </c>
      <c r="AR1739" s="35">
        <v>0</v>
      </c>
    </row>
    <row r="1740" spans="43:44" x14ac:dyDescent="0.25">
      <c r="AQ1740" s="139" t="s">
        <v>60</v>
      </c>
      <c r="AR1740" s="35">
        <v>0</v>
      </c>
    </row>
    <row r="1741" spans="43:44" x14ac:dyDescent="0.25">
      <c r="AQ1741" s="16">
        <v>436</v>
      </c>
      <c r="AR1741" s="35">
        <v>0</v>
      </c>
    </row>
    <row r="1742" spans="43:44" x14ac:dyDescent="0.25">
      <c r="AQ1742" s="136" t="s">
        <v>54</v>
      </c>
      <c r="AR1742" s="35">
        <v>0</v>
      </c>
    </row>
    <row r="1743" spans="43:44" x14ac:dyDescent="0.25">
      <c r="AQ1743" s="138" t="s">
        <v>54</v>
      </c>
      <c r="AR1743" s="35">
        <v>0</v>
      </c>
    </row>
    <row r="1744" spans="43:44" x14ac:dyDescent="0.25">
      <c r="AQ1744" s="139" t="s">
        <v>60</v>
      </c>
      <c r="AR1744" s="35">
        <v>0</v>
      </c>
    </row>
    <row r="1745" spans="43:44" x14ac:dyDescent="0.25">
      <c r="AQ1745" s="16">
        <v>437</v>
      </c>
      <c r="AR1745" s="35">
        <v>0</v>
      </c>
    </row>
    <row r="1746" spans="43:44" x14ac:dyDescent="0.25">
      <c r="AQ1746" s="136" t="s">
        <v>54</v>
      </c>
      <c r="AR1746" s="35">
        <v>0</v>
      </c>
    </row>
    <row r="1747" spans="43:44" x14ac:dyDescent="0.25">
      <c r="AQ1747" s="138" t="s">
        <v>54</v>
      </c>
      <c r="AR1747" s="35">
        <v>0</v>
      </c>
    </row>
    <row r="1748" spans="43:44" x14ac:dyDescent="0.25">
      <c r="AQ1748" s="139" t="s">
        <v>60</v>
      </c>
      <c r="AR1748" s="35">
        <v>0</v>
      </c>
    </row>
    <row r="1749" spans="43:44" x14ac:dyDescent="0.25">
      <c r="AQ1749" s="16">
        <v>438</v>
      </c>
      <c r="AR1749" s="35">
        <v>0</v>
      </c>
    </row>
    <row r="1750" spans="43:44" x14ac:dyDescent="0.25">
      <c r="AQ1750" s="136" t="s">
        <v>54</v>
      </c>
      <c r="AR1750" s="35">
        <v>0</v>
      </c>
    </row>
    <row r="1751" spans="43:44" x14ac:dyDescent="0.25">
      <c r="AQ1751" s="138" t="s">
        <v>54</v>
      </c>
      <c r="AR1751" s="35">
        <v>0</v>
      </c>
    </row>
    <row r="1752" spans="43:44" x14ac:dyDescent="0.25">
      <c r="AQ1752" s="139" t="s">
        <v>60</v>
      </c>
      <c r="AR1752" s="35">
        <v>0</v>
      </c>
    </row>
    <row r="1753" spans="43:44" x14ac:dyDescent="0.25">
      <c r="AQ1753" s="16">
        <v>439</v>
      </c>
      <c r="AR1753" s="35">
        <v>0</v>
      </c>
    </row>
    <row r="1754" spans="43:44" x14ac:dyDescent="0.25">
      <c r="AQ1754" s="136" t="s">
        <v>54</v>
      </c>
      <c r="AR1754" s="35">
        <v>0</v>
      </c>
    </row>
    <row r="1755" spans="43:44" x14ac:dyDescent="0.25">
      <c r="AQ1755" s="138" t="s">
        <v>54</v>
      </c>
      <c r="AR1755" s="35">
        <v>0</v>
      </c>
    </row>
    <row r="1756" spans="43:44" x14ac:dyDescent="0.25">
      <c r="AQ1756" s="139" t="s">
        <v>60</v>
      </c>
      <c r="AR1756" s="35">
        <v>0</v>
      </c>
    </row>
    <row r="1757" spans="43:44" x14ac:dyDescent="0.25">
      <c r="AQ1757" s="16">
        <v>440</v>
      </c>
      <c r="AR1757" s="35">
        <v>0</v>
      </c>
    </row>
    <row r="1758" spans="43:44" x14ac:dyDescent="0.25">
      <c r="AQ1758" s="136" t="s">
        <v>54</v>
      </c>
      <c r="AR1758" s="35">
        <v>0</v>
      </c>
    </row>
    <row r="1759" spans="43:44" x14ac:dyDescent="0.25">
      <c r="AQ1759" s="138" t="s">
        <v>54</v>
      </c>
      <c r="AR1759" s="35">
        <v>0</v>
      </c>
    </row>
    <row r="1760" spans="43:44" x14ac:dyDescent="0.25">
      <c r="AQ1760" s="139" t="s">
        <v>60</v>
      </c>
      <c r="AR1760" s="35">
        <v>0</v>
      </c>
    </row>
    <row r="1761" spans="43:44" x14ac:dyDescent="0.25">
      <c r="AQ1761" s="16">
        <v>441</v>
      </c>
      <c r="AR1761" s="35">
        <v>0</v>
      </c>
    </row>
    <row r="1762" spans="43:44" x14ac:dyDescent="0.25">
      <c r="AQ1762" s="136" t="s">
        <v>54</v>
      </c>
      <c r="AR1762" s="35">
        <v>0</v>
      </c>
    </row>
    <row r="1763" spans="43:44" x14ac:dyDescent="0.25">
      <c r="AQ1763" s="138" t="s">
        <v>54</v>
      </c>
      <c r="AR1763" s="35">
        <v>0</v>
      </c>
    </row>
    <row r="1764" spans="43:44" x14ac:dyDescent="0.25">
      <c r="AQ1764" s="139" t="s">
        <v>60</v>
      </c>
      <c r="AR1764" s="35">
        <v>0</v>
      </c>
    </row>
    <row r="1765" spans="43:44" x14ac:dyDescent="0.25">
      <c r="AQ1765" s="16">
        <v>442</v>
      </c>
      <c r="AR1765" s="35">
        <v>0</v>
      </c>
    </row>
    <row r="1766" spans="43:44" x14ac:dyDescent="0.25">
      <c r="AQ1766" s="136" t="s">
        <v>54</v>
      </c>
      <c r="AR1766" s="35">
        <v>0</v>
      </c>
    </row>
    <row r="1767" spans="43:44" x14ac:dyDescent="0.25">
      <c r="AQ1767" s="138" t="s">
        <v>54</v>
      </c>
      <c r="AR1767" s="35">
        <v>0</v>
      </c>
    </row>
    <row r="1768" spans="43:44" x14ac:dyDescent="0.25">
      <c r="AQ1768" s="139" t="s">
        <v>60</v>
      </c>
      <c r="AR1768" s="35">
        <v>0</v>
      </c>
    </row>
    <row r="1769" spans="43:44" x14ac:dyDescent="0.25">
      <c r="AQ1769" s="16">
        <v>443</v>
      </c>
      <c r="AR1769" s="35">
        <v>0</v>
      </c>
    </row>
    <row r="1770" spans="43:44" x14ac:dyDescent="0.25">
      <c r="AQ1770" s="136" t="s">
        <v>54</v>
      </c>
      <c r="AR1770" s="35">
        <v>0</v>
      </c>
    </row>
    <row r="1771" spans="43:44" x14ac:dyDescent="0.25">
      <c r="AQ1771" s="138" t="s">
        <v>54</v>
      </c>
      <c r="AR1771" s="35">
        <v>0</v>
      </c>
    </row>
    <row r="1772" spans="43:44" x14ac:dyDescent="0.25">
      <c r="AQ1772" s="139" t="s">
        <v>60</v>
      </c>
      <c r="AR1772" s="35">
        <v>0</v>
      </c>
    </row>
    <row r="1773" spans="43:44" x14ac:dyDescent="0.25">
      <c r="AQ1773" s="16">
        <v>444</v>
      </c>
      <c r="AR1773" s="35">
        <v>0</v>
      </c>
    </row>
    <row r="1774" spans="43:44" x14ac:dyDescent="0.25">
      <c r="AQ1774" s="136" t="s">
        <v>54</v>
      </c>
      <c r="AR1774" s="35">
        <v>0</v>
      </c>
    </row>
    <row r="1775" spans="43:44" x14ac:dyDescent="0.25">
      <c r="AQ1775" s="138" t="s">
        <v>54</v>
      </c>
      <c r="AR1775" s="35">
        <v>0</v>
      </c>
    </row>
    <row r="1776" spans="43:44" x14ac:dyDescent="0.25">
      <c r="AQ1776" s="139" t="s">
        <v>60</v>
      </c>
      <c r="AR1776" s="35">
        <v>0</v>
      </c>
    </row>
    <row r="1777" spans="43:44" x14ac:dyDescent="0.25">
      <c r="AQ1777" s="16">
        <v>445</v>
      </c>
      <c r="AR1777" s="35">
        <v>0</v>
      </c>
    </row>
    <row r="1778" spans="43:44" x14ac:dyDescent="0.25">
      <c r="AQ1778" s="136" t="s">
        <v>54</v>
      </c>
      <c r="AR1778" s="35">
        <v>0</v>
      </c>
    </row>
    <row r="1779" spans="43:44" x14ac:dyDescent="0.25">
      <c r="AQ1779" s="138" t="s">
        <v>54</v>
      </c>
      <c r="AR1779" s="35">
        <v>0</v>
      </c>
    </row>
    <row r="1780" spans="43:44" x14ac:dyDescent="0.25">
      <c r="AQ1780" s="139" t="s">
        <v>60</v>
      </c>
      <c r="AR1780" s="35">
        <v>0</v>
      </c>
    </row>
    <row r="1781" spans="43:44" x14ac:dyDescent="0.25">
      <c r="AQ1781" s="16">
        <v>446</v>
      </c>
      <c r="AR1781" s="35">
        <v>0</v>
      </c>
    </row>
    <row r="1782" spans="43:44" x14ac:dyDescent="0.25">
      <c r="AQ1782" s="136" t="s">
        <v>54</v>
      </c>
      <c r="AR1782" s="35">
        <v>0</v>
      </c>
    </row>
    <row r="1783" spans="43:44" x14ac:dyDescent="0.25">
      <c r="AQ1783" s="138" t="s">
        <v>54</v>
      </c>
      <c r="AR1783" s="35">
        <v>0</v>
      </c>
    </row>
    <row r="1784" spans="43:44" x14ac:dyDescent="0.25">
      <c r="AQ1784" s="139" t="s">
        <v>60</v>
      </c>
      <c r="AR1784" s="35">
        <v>0</v>
      </c>
    </row>
    <row r="1785" spans="43:44" x14ac:dyDescent="0.25">
      <c r="AQ1785" s="16">
        <v>447</v>
      </c>
      <c r="AR1785" s="35">
        <v>0</v>
      </c>
    </row>
    <row r="1786" spans="43:44" x14ac:dyDescent="0.25">
      <c r="AQ1786" s="136" t="s">
        <v>54</v>
      </c>
      <c r="AR1786" s="35">
        <v>0</v>
      </c>
    </row>
    <row r="1787" spans="43:44" x14ac:dyDescent="0.25">
      <c r="AQ1787" s="138" t="s">
        <v>54</v>
      </c>
      <c r="AR1787" s="35">
        <v>0</v>
      </c>
    </row>
    <row r="1788" spans="43:44" x14ac:dyDescent="0.25">
      <c r="AQ1788" s="139" t="s">
        <v>60</v>
      </c>
      <c r="AR1788" s="35">
        <v>0</v>
      </c>
    </row>
    <row r="1789" spans="43:44" x14ac:dyDescent="0.25">
      <c r="AQ1789" s="16">
        <v>448</v>
      </c>
      <c r="AR1789" s="35">
        <v>0</v>
      </c>
    </row>
    <row r="1790" spans="43:44" x14ac:dyDescent="0.25">
      <c r="AQ1790" s="136" t="s">
        <v>54</v>
      </c>
      <c r="AR1790" s="35">
        <v>0</v>
      </c>
    </row>
    <row r="1791" spans="43:44" x14ac:dyDescent="0.25">
      <c r="AQ1791" s="138" t="s">
        <v>54</v>
      </c>
      <c r="AR1791" s="35">
        <v>0</v>
      </c>
    </row>
    <row r="1792" spans="43:44" x14ac:dyDescent="0.25">
      <c r="AQ1792" s="139" t="s">
        <v>60</v>
      </c>
      <c r="AR1792" s="35">
        <v>0</v>
      </c>
    </row>
    <row r="1793" spans="43:44" x14ac:dyDescent="0.25">
      <c r="AQ1793" s="16">
        <v>449</v>
      </c>
      <c r="AR1793" s="35">
        <v>0</v>
      </c>
    </row>
    <row r="1794" spans="43:44" x14ac:dyDescent="0.25">
      <c r="AQ1794" s="136" t="s">
        <v>54</v>
      </c>
      <c r="AR1794" s="35">
        <v>0</v>
      </c>
    </row>
    <row r="1795" spans="43:44" x14ac:dyDescent="0.25">
      <c r="AQ1795" s="138" t="s">
        <v>54</v>
      </c>
      <c r="AR1795" s="35">
        <v>0</v>
      </c>
    </row>
    <row r="1796" spans="43:44" x14ac:dyDescent="0.25">
      <c r="AQ1796" s="139" t="s">
        <v>60</v>
      </c>
      <c r="AR1796" s="35">
        <v>0</v>
      </c>
    </row>
    <row r="1797" spans="43:44" x14ac:dyDescent="0.25">
      <c r="AQ1797" s="16">
        <v>450</v>
      </c>
      <c r="AR1797" s="35">
        <v>0</v>
      </c>
    </row>
    <row r="1798" spans="43:44" x14ac:dyDescent="0.25">
      <c r="AQ1798" s="136" t="s">
        <v>54</v>
      </c>
      <c r="AR1798" s="35">
        <v>0</v>
      </c>
    </row>
    <row r="1799" spans="43:44" x14ac:dyDescent="0.25">
      <c r="AQ1799" s="138" t="s">
        <v>54</v>
      </c>
      <c r="AR1799" s="35">
        <v>0</v>
      </c>
    </row>
    <row r="1800" spans="43:44" x14ac:dyDescent="0.25">
      <c r="AQ1800" s="139" t="s">
        <v>60</v>
      </c>
      <c r="AR1800" s="35">
        <v>0</v>
      </c>
    </row>
    <row r="1801" spans="43:44" x14ac:dyDescent="0.25">
      <c r="AQ1801" s="16">
        <v>451</v>
      </c>
      <c r="AR1801" s="35">
        <v>0</v>
      </c>
    </row>
    <row r="1802" spans="43:44" x14ac:dyDescent="0.25">
      <c r="AQ1802" s="136" t="s">
        <v>54</v>
      </c>
      <c r="AR1802" s="35">
        <v>0</v>
      </c>
    </row>
    <row r="1803" spans="43:44" x14ac:dyDescent="0.25">
      <c r="AQ1803" s="138" t="s">
        <v>54</v>
      </c>
      <c r="AR1803" s="35">
        <v>0</v>
      </c>
    </row>
    <row r="1804" spans="43:44" x14ac:dyDescent="0.25">
      <c r="AQ1804" s="139" t="s">
        <v>60</v>
      </c>
      <c r="AR1804" s="35">
        <v>0</v>
      </c>
    </row>
    <row r="1805" spans="43:44" x14ac:dyDescent="0.25">
      <c r="AQ1805" s="16">
        <v>452</v>
      </c>
      <c r="AR1805" s="35">
        <v>0</v>
      </c>
    </row>
    <row r="1806" spans="43:44" x14ac:dyDescent="0.25">
      <c r="AQ1806" s="136" t="s">
        <v>54</v>
      </c>
      <c r="AR1806" s="35">
        <v>0</v>
      </c>
    </row>
    <row r="1807" spans="43:44" x14ac:dyDescent="0.25">
      <c r="AQ1807" s="138" t="s">
        <v>54</v>
      </c>
      <c r="AR1807" s="35">
        <v>0</v>
      </c>
    </row>
    <row r="1808" spans="43:44" x14ac:dyDescent="0.25">
      <c r="AQ1808" s="139" t="s">
        <v>60</v>
      </c>
      <c r="AR1808" s="35">
        <v>0</v>
      </c>
    </row>
    <row r="1809" spans="43:44" x14ac:dyDescent="0.25">
      <c r="AQ1809" s="16">
        <v>453</v>
      </c>
      <c r="AR1809" s="35">
        <v>0</v>
      </c>
    </row>
    <row r="1810" spans="43:44" x14ac:dyDescent="0.25">
      <c r="AQ1810" s="136" t="s">
        <v>54</v>
      </c>
      <c r="AR1810" s="35">
        <v>0</v>
      </c>
    </row>
    <row r="1811" spans="43:44" x14ac:dyDescent="0.25">
      <c r="AQ1811" s="138" t="s">
        <v>54</v>
      </c>
      <c r="AR1811" s="35">
        <v>0</v>
      </c>
    </row>
    <row r="1812" spans="43:44" x14ac:dyDescent="0.25">
      <c r="AQ1812" s="139" t="s">
        <v>60</v>
      </c>
      <c r="AR1812" s="35">
        <v>0</v>
      </c>
    </row>
    <row r="1813" spans="43:44" x14ac:dyDescent="0.25">
      <c r="AQ1813" s="16">
        <v>454</v>
      </c>
      <c r="AR1813" s="35">
        <v>0</v>
      </c>
    </row>
    <row r="1814" spans="43:44" x14ac:dyDescent="0.25">
      <c r="AQ1814" s="136" t="s">
        <v>54</v>
      </c>
      <c r="AR1814" s="35">
        <v>0</v>
      </c>
    </row>
    <row r="1815" spans="43:44" x14ac:dyDescent="0.25">
      <c r="AQ1815" s="138" t="s">
        <v>54</v>
      </c>
      <c r="AR1815" s="35">
        <v>0</v>
      </c>
    </row>
    <row r="1816" spans="43:44" x14ac:dyDescent="0.25">
      <c r="AQ1816" s="139" t="s">
        <v>60</v>
      </c>
      <c r="AR1816" s="35">
        <v>0</v>
      </c>
    </row>
    <row r="1817" spans="43:44" x14ac:dyDescent="0.25">
      <c r="AQ1817" s="16">
        <v>455</v>
      </c>
      <c r="AR1817" s="35">
        <v>0</v>
      </c>
    </row>
    <row r="1818" spans="43:44" x14ac:dyDescent="0.25">
      <c r="AQ1818" s="136" t="s">
        <v>54</v>
      </c>
      <c r="AR1818" s="35">
        <v>0</v>
      </c>
    </row>
    <row r="1819" spans="43:44" x14ac:dyDescent="0.25">
      <c r="AQ1819" s="138" t="s">
        <v>54</v>
      </c>
      <c r="AR1819" s="35">
        <v>0</v>
      </c>
    </row>
    <row r="1820" spans="43:44" x14ac:dyDescent="0.25">
      <c r="AQ1820" s="139" t="s">
        <v>60</v>
      </c>
      <c r="AR1820" s="35">
        <v>0</v>
      </c>
    </row>
    <row r="1821" spans="43:44" x14ac:dyDescent="0.25">
      <c r="AQ1821" s="16">
        <v>456</v>
      </c>
      <c r="AR1821" s="35">
        <v>0</v>
      </c>
    </row>
    <row r="1822" spans="43:44" x14ac:dyDescent="0.25">
      <c r="AQ1822" s="136" t="s">
        <v>54</v>
      </c>
      <c r="AR1822" s="35">
        <v>0</v>
      </c>
    </row>
    <row r="1823" spans="43:44" x14ac:dyDescent="0.25">
      <c r="AQ1823" s="138" t="s">
        <v>54</v>
      </c>
      <c r="AR1823" s="35">
        <v>0</v>
      </c>
    </row>
    <row r="1824" spans="43:44" x14ac:dyDescent="0.25">
      <c r="AQ1824" s="139" t="s">
        <v>60</v>
      </c>
      <c r="AR1824" s="35">
        <v>0</v>
      </c>
    </row>
    <row r="1825" spans="43:44" x14ac:dyDescent="0.25">
      <c r="AQ1825" s="16">
        <v>457</v>
      </c>
      <c r="AR1825" s="35">
        <v>0</v>
      </c>
    </row>
    <row r="1826" spans="43:44" x14ac:dyDescent="0.25">
      <c r="AQ1826" s="136" t="s">
        <v>54</v>
      </c>
      <c r="AR1826" s="35">
        <v>0</v>
      </c>
    </row>
    <row r="1827" spans="43:44" x14ac:dyDescent="0.25">
      <c r="AQ1827" s="138" t="s">
        <v>54</v>
      </c>
      <c r="AR1827" s="35">
        <v>0</v>
      </c>
    </row>
    <row r="1828" spans="43:44" x14ac:dyDescent="0.25">
      <c r="AQ1828" s="139" t="s">
        <v>60</v>
      </c>
      <c r="AR1828" s="35">
        <v>0</v>
      </c>
    </row>
    <row r="1829" spans="43:44" x14ac:dyDescent="0.25">
      <c r="AQ1829" s="16">
        <v>458</v>
      </c>
      <c r="AR1829" s="35">
        <v>0</v>
      </c>
    </row>
    <row r="1830" spans="43:44" x14ac:dyDescent="0.25">
      <c r="AQ1830" s="136" t="s">
        <v>54</v>
      </c>
      <c r="AR1830" s="35">
        <v>0</v>
      </c>
    </row>
    <row r="1831" spans="43:44" x14ac:dyDescent="0.25">
      <c r="AQ1831" s="138" t="s">
        <v>54</v>
      </c>
      <c r="AR1831" s="35">
        <v>0</v>
      </c>
    </row>
    <row r="1832" spans="43:44" x14ac:dyDescent="0.25">
      <c r="AQ1832" s="139" t="s">
        <v>60</v>
      </c>
      <c r="AR1832" s="35">
        <v>0</v>
      </c>
    </row>
    <row r="1833" spans="43:44" x14ac:dyDescent="0.25">
      <c r="AQ1833" s="16">
        <v>459</v>
      </c>
      <c r="AR1833" s="35">
        <v>0</v>
      </c>
    </row>
    <row r="1834" spans="43:44" x14ac:dyDescent="0.25">
      <c r="AQ1834" s="136" t="s">
        <v>54</v>
      </c>
      <c r="AR1834" s="35">
        <v>0</v>
      </c>
    </row>
    <row r="1835" spans="43:44" x14ac:dyDescent="0.25">
      <c r="AQ1835" s="138" t="s">
        <v>54</v>
      </c>
      <c r="AR1835" s="35">
        <v>0</v>
      </c>
    </row>
    <row r="1836" spans="43:44" x14ac:dyDescent="0.25">
      <c r="AQ1836" s="139" t="s">
        <v>60</v>
      </c>
      <c r="AR1836" s="35">
        <v>0</v>
      </c>
    </row>
    <row r="1837" spans="43:44" x14ac:dyDescent="0.25">
      <c r="AQ1837" s="16">
        <v>460</v>
      </c>
      <c r="AR1837" s="35">
        <v>0</v>
      </c>
    </row>
    <row r="1838" spans="43:44" x14ac:dyDescent="0.25">
      <c r="AQ1838" s="136" t="s">
        <v>54</v>
      </c>
      <c r="AR1838" s="35">
        <v>0</v>
      </c>
    </row>
    <row r="1839" spans="43:44" x14ac:dyDescent="0.25">
      <c r="AQ1839" s="138" t="s">
        <v>54</v>
      </c>
      <c r="AR1839" s="35">
        <v>0</v>
      </c>
    </row>
    <row r="1840" spans="43:44" x14ac:dyDescent="0.25">
      <c r="AQ1840" s="139" t="s">
        <v>60</v>
      </c>
      <c r="AR1840" s="35">
        <v>0</v>
      </c>
    </row>
    <row r="1841" spans="43:44" x14ac:dyDescent="0.25">
      <c r="AQ1841" s="16">
        <v>461</v>
      </c>
      <c r="AR1841" s="35">
        <v>0</v>
      </c>
    </row>
    <row r="1842" spans="43:44" x14ac:dyDescent="0.25">
      <c r="AQ1842" s="136" t="s">
        <v>54</v>
      </c>
      <c r="AR1842" s="35">
        <v>0</v>
      </c>
    </row>
    <row r="1843" spans="43:44" x14ac:dyDescent="0.25">
      <c r="AQ1843" s="138" t="s">
        <v>54</v>
      </c>
      <c r="AR1843" s="35">
        <v>0</v>
      </c>
    </row>
    <row r="1844" spans="43:44" x14ac:dyDescent="0.25">
      <c r="AQ1844" s="139" t="s">
        <v>60</v>
      </c>
      <c r="AR1844" s="35">
        <v>0</v>
      </c>
    </row>
    <row r="1845" spans="43:44" x14ac:dyDescent="0.25">
      <c r="AQ1845" s="16">
        <v>462</v>
      </c>
      <c r="AR1845" s="35">
        <v>0</v>
      </c>
    </row>
    <row r="1846" spans="43:44" x14ac:dyDescent="0.25">
      <c r="AQ1846" s="136" t="s">
        <v>54</v>
      </c>
      <c r="AR1846" s="35">
        <v>0</v>
      </c>
    </row>
    <row r="1847" spans="43:44" x14ac:dyDescent="0.25">
      <c r="AQ1847" s="138" t="s">
        <v>54</v>
      </c>
      <c r="AR1847" s="35">
        <v>0</v>
      </c>
    </row>
    <row r="1848" spans="43:44" x14ac:dyDescent="0.25">
      <c r="AQ1848" s="139" t="s">
        <v>60</v>
      </c>
      <c r="AR1848" s="35">
        <v>0</v>
      </c>
    </row>
    <row r="1849" spans="43:44" x14ac:dyDescent="0.25">
      <c r="AQ1849" s="16">
        <v>463</v>
      </c>
      <c r="AR1849" s="35">
        <v>0</v>
      </c>
    </row>
    <row r="1850" spans="43:44" x14ac:dyDescent="0.25">
      <c r="AQ1850" s="136" t="s">
        <v>54</v>
      </c>
      <c r="AR1850" s="35">
        <v>0</v>
      </c>
    </row>
    <row r="1851" spans="43:44" x14ac:dyDescent="0.25">
      <c r="AQ1851" s="138" t="s">
        <v>54</v>
      </c>
      <c r="AR1851" s="35">
        <v>0</v>
      </c>
    </row>
    <row r="1852" spans="43:44" x14ac:dyDescent="0.25">
      <c r="AQ1852" s="139" t="s">
        <v>60</v>
      </c>
      <c r="AR1852" s="35">
        <v>0</v>
      </c>
    </row>
    <row r="1853" spans="43:44" x14ac:dyDescent="0.25">
      <c r="AQ1853" s="16">
        <v>464</v>
      </c>
      <c r="AR1853" s="35">
        <v>0</v>
      </c>
    </row>
    <row r="1854" spans="43:44" x14ac:dyDescent="0.25">
      <c r="AQ1854" s="136" t="s">
        <v>54</v>
      </c>
      <c r="AR1854" s="35">
        <v>0</v>
      </c>
    </row>
    <row r="1855" spans="43:44" x14ac:dyDescent="0.25">
      <c r="AQ1855" s="138" t="s">
        <v>54</v>
      </c>
      <c r="AR1855" s="35">
        <v>0</v>
      </c>
    </row>
    <row r="1856" spans="43:44" x14ac:dyDescent="0.25">
      <c r="AQ1856" s="139" t="s">
        <v>60</v>
      </c>
      <c r="AR1856" s="35">
        <v>0</v>
      </c>
    </row>
    <row r="1857" spans="43:44" x14ac:dyDescent="0.25">
      <c r="AQ1857" s="16">
        <v>465</v>
      </c>
      <c r="AR1857" s="35">
        <v>0</v>
      </c>
    </row>
    <row r="1858" spans="43:44" x14ac:dyDescent="0.25">
      <c r="AQ1858" s="136" t="s">
        <v>54</v>
      </c>
      <c r="AR1858" s="35">
        <v>0</v>
      </c>
    </row>
    <row r="1859" spans="43:44" x14ac:dyDescent="0.25">
      <c r="AQ1859" s="138" t="s">
        <v>54</v>
      </c>
      <c r="AR1859" s="35">
        <v>0</v>
      </c>
    </row>
    <row r="1860" spans="43:44" x14ac:dyDescent="0.25">
      <c r="AQ1860" s="139" t="s">
        <v>60</v>
      </c>
      <c r="AR1860" s="35">
        <v>0</v>
      </c>
    </row>
    <row r="1861" spans="43:44" x14ac:dyDescent="0.25">
      <c r="AQ1861" s="16">
        <v>466</v>
      </c>
      <c r="AR1861" s="35">
        <v>0</v>
      </c>
    </row>
    <row r="1862" spans="43:44" x14ac:dyDescent="0.25">
      <c r="AQ1862" s="136" t="s">
        <v>54</v>
      </c>
      <c r="AR1862" s="35">
        <v>0</v>
      </c>
    </row>
    <row r="1863" spans="43:44" x14ac:dyDescent="0.25">
      <c r="AQ1863" s="138" t="s">
        <v>54</v>
      </c>
      <c r="AR1863" s="35">
        <v>0</v>
      </c>
    </row>
    <row r="1864" spans="43:44" x14ac:dyDescent="0.25">
      <c r="AQ1864" s="139" t="s">
        <v>60</v>
      </c>
      <c r="AR1864" s="35">
        <v>0</v>
      </c>
    </row>
    <row r="1865" spans="43:44" x14ac:dyDescent="0.25">
      <c r="AQ1865" s="16">
        <v>467</v>
      </c>
      <c r="AR1865" s="35">
        <v>0</v>
      </c>
    </row>
    <row r="1866" spans="43:44" x14ac:dyDescent="0.25">
      <c r="AQ1866" s="136" t="s">
        <v>54</v>
      </c>
      <c r="AR1866" s="35">
        <v>0</v>
      </c>
    </row>
    <row r="1867" spans="43:44" x14ac:dyDescent="0.25">
      <c r="AQ1867" s="138" t="s">
        <v>54</v>
      </c>
      <c r="AR1867" s="35">
        <v>0</v>
      </c>
    </row>
    <row r="1868" spans="43:44" x14ac:dyDescent="0.25">
      <c r="AQ1868" s="139" t="s">
        <v>60</v>
      </c>
      <c r="AR1868" s="35">
        <v>0</v>
      </c>
    </row>
    <row r="1869" spans="43:44" x14ac:dyDescent="0.25">
      <c r="AQ1869" s="16">
        <v>468</v>
      </c>
      <c r="AR1869" s="35">
        <v>0</v>
      </c>
    </row>
    <row r="1870" spans="43:44" x14ac:dyDescent="0.25">
      <c r="AQ1870" s="136" t="s">
        <v>54</v>
      </c>
      <c r="AR1870" s="35">
        <v>0</v>
      </c>
    </row>
    <row r="1871" spans="43:44" x14ac:dyDescent="0.25">
      <c r="AQ1871" s="138" t="s">
        <v>54</v>
      </c>
      <c r="AR1871" s="35">
        <v>0</v>
      </c>
    </row>
    <row r="1872" spans="43:44" x14ac:dyDescent="0.25">
      <c r="AQ1872" s="139" t="s">
        <v>60</v>
      </c>
      <c r="AR1872" s="35">
        <v>0</v>
      </c>
    </row>
    <row r="1873" spans="43:44" x14ac:dyDescent="0.25">
      <c r="AQ1873" s="16">
        <v>469</v>
      </c>
      <c r="AR1873" s="35">
        <v>0</v>
      </c>
    </row>
    <row r="1874" spans="43:44" x14ac:dyDescent="0.25">
      <c r="AQ1874" s="136" t="s">
        <v>54</v>
      </c>
      <c r="AR1874" s="35">
        <v>0</v>
      </c>
    </row>
    <row r="1875" spans="43:44" x14ac:dyDescent="0.25">
      <c r="AQ1875" s="138" t="s">
        <v>54</v>
      </c>
      <c r="AR1875" s="35">
        <v>0</v>
      </c>
    </row>
    <row r="1876" spans="43:44" x14ac:dyDescent="0.25">
      <c r="AQ1876" s="139" t="s">
        <v>60</v>
      </c>
      <c r="AR1876" s="35">
        <v>0</v>
      </c>
    </row>
    <row r="1877" spans="43:44" x14ac:dyDescent="0.25">
      <c r="AQ1877" s="16">
        <v>470</v>
      </c>
      <c r="AR1877" s="35">
        <v>0</v>
      </c>
    </row>
    <row r="1878" spans="43:44" x14ac:dyDescent="0.25">
      <c r="AQ1878" s="136" t="s">
        <v>54</v>
      </c>
      <c r="AR1878" s="35">
        <v>0</v>
      </c>
    </row>
    <row r="1879" spans="43:44" x14ac:dyDescent="0.25">
      <c r="AQ1879" s="138" t="s">
        <v>54</v>
      </c>
      <c r="AR1879" s="35">
        <v>0</v>
      </c>
    </row>
    <row r="1880" spans="43:44" x14ac:dyDescent="0.25">
      <c r="AQ1880" s="139" t="s">
        <v>60</v>
      </c>
      <c r="AR1880" s="35">
        <v>0</v>
      </c>
    </row>
    <row r="1881" spans="43:44" x14ac:dyDescent="0.25">
      <c r="AQ1881" s="16">
        <v>471</v>
      </c>
      <c r="AR1881" s="35">
        <v>0</v>
      </c>
    </row>
    <row r="1882" spans="43:44" x14ac:dyDescent="0.25">
      <c r="AQ1882" s="136" t="s">
        <v>54</v>
      </c>
      <c r="AR1882" s="35">
        <v>0</v>
      </c>
    </row>
    <row r="1883" spans="43:44" x14ac:dyDescent="0.25">
      <c r="AQ1883" s="138" t="s">
        <v>54</v>
      </c>
      <c r="AR1883" s="35">
        <v>0</v>
      </c>
    </row>
    <row r="1884" spans="43:44" x14ac:dyDescent="0.25">
      <c r="AQ1884" s="139" t="s">
        <v>60</v>
      </c>
      <c r="AR1884" s="35">
        <v>0</v>
      </c>
    </row>
    <row r="1885" spans="43:44" x14ac:dyDescent="0.25">
      <c r="AQ1885" s="16">
        <v>472</v>
      </c>
      <c r="AR1885" s="35">
        <v>0</v>
      </c>
    </row>
    <row r="1886" spans="43:44" x14ac:dyDescent="0.25">
      <c r="AQ1886" s="136" t="s">
        <v>54</v>
      </c>
      <c r="AR1886" s="35">
        <v>0</v>
      </c>
    </row>
    <row r="1887" spans="43:44" x14ac:dyDescent="0.25">
      <c r="AQ1887" s="138" t="s">
        <v>54</v>
      </c>
      <c r="AR1887" s="35">
        <v>0</v>
      </c>
    </row>
    <row r="1888" spans="43:44" x14ac:dyDescent="0.25">
      <c r="AQ1888" s="139" t="s">
        <v>60</v>
      </c>
      <c r="AR1888" s="35">
        <v>0</v>
      </c>
    </row>
    <row r="1889" spans="43:44" x14ac:dyDescent="0.25">
      <c r="AQ1889" s="16">
        <v>473</v>
      </c>
      <c r="AR1889" s="35">
        <v>0</v>
      </c>
    </row>
    <row r="1890" spans="43:44" x14ac:dyDescent="0.25">
      <c r="AQ1890" s="136" t="s">
        <v>54</v>
      </c>
      <c r="AR1890" s="35">
        <v>0</v>
      </c>
    </row>
    <row r="1891" spans="43:44" x14ac:dyDescent="0.25">
      <c r="AQ1891" s="138" t="s">
        <v>54</v>
      </c>
      <c r="AR1891" s="35">
        <v>0</v>
      </c>
    </row>
    <row r="1892" spans="43:44" x14ac:dyDescent="0.25">
      <c r="AQ1892" s="139" t="s">
        <v>60</v>
      </c>
      <c r="AR1892" s="35">
        <v>0</v>
      </c>
    </row>
    <row r="1893" spans="43:44" x14ac:dyDescent="0.25">
      <c r="AQ1893" s="16">
        <v>474</v>
      </c>
      <c r="AR1893" s="35">
        <v>0</v>
      </c>
    </row>
    <row r="1894" spans="43:44" x14ac:dyDescent="0.25">
      <c r="AQ1894" s="136" t="s">
        <v>54</v>
      </c>
      <c r="AR1894" s="35">
        <v>0</v>
      </c>
    </row>
    <row r="1895" spans="43:44" x14ac:dyDescent="0.25">
      <c r="AQ1895" s="138" t="s">
        <v>54</v>
      </c>
      <c r="AR1895" s="35">
        <v>0</v>
      </c>
    </row>
    <row r="1896" spans="43:44" x14ac:dyDescent="0.25">
      <c r="AQ1896" s="139" t="s">
        <v>60</v>
      </c>
      <c r="AR1896" s="35">
        <v>0</v>
      </c>
    </row>
    <row r="1897" spans="43:44" x14ac:dyDescent="0.25">
      <c r="AQ1897" s="16">
        <v>475</v>
      </c>
      <c r="AR1897" s="35">
        <v>0</v>
      </c>
    </row>
    <row r="1898" spans="43:44" x14ac:dyDescent="0.25">
      <c r="AQ1898" s="136" t="s">
        <v>54</v>
      </c>
      <c r="AR1898" s="35">
        <v>0</v>
      </c>
    </row>
    <row r="1899" spans="43:44" x14ac:dyDescent="0.25">
      <c r="AQ1899" s="138" t="s">
        <v>54</v>
      </c>
      <c r="AR1899" s="35">
        <v>0</v>
      </c>
    </row>
    <row r="1900" spans="43:44" x14ac:dyDescent="0.25">
      <c r="AQ1900" s="139" t="s">
        <v>60</v>
      </c>
      <c r="AR1900" s="35">
        <v>0</v>
      </c>
    </row>
    <row r="1901" spans="43:44" x14ac:dyDescent="0.25">
      <c r="AQ1901" s="16">
        <v>476</v>
      </c>
      <c r="AR1901" s="35">
        <v>0</v>
      </c>
    </row>
    <row r="1902" spans="43:44" x14ac:dyDescent="0.25">
      <c r="AQ1902" s="136" t="s">
        <v>54</v>
      </c>
      <c r="AR1902" s="35">
        <v>0</v>
      </c>
    </row>
    <row r="1903" spans="43:44" x14ac:dyDescent="0.25">
      <c r="AQ1903" s="138" t="s">
        <v>54</v>
      </c>
      <c r="AR1903" s="35">
        <v>0</v>
      </c>
    </row>
    <row r="1904" spans="43:44" x14ac:dyDescent="0.25">
      <c r="AQ1904" s="139" t="s">
        <v>60</v>
      </c>
      <c r="AR1904" s="35">
        <v>0</v>
      </c>
    </row>
    <row r="1905" spans="43:44" x14ac:dyDescent="0.25">
      <c r="AQ1905" s="16">
        <v>477</v>
      </c>
      <c r="AR1905" s="35">
        <v>0</v>
      </c>
    </row>
    <row r="1906" spans="43:44" x14ac:dyDescent="0.25">
      <c r="AQ1906" s="136" t="s">
        <v>54</v>
      </c>
      <c r="AR1906" s="35">
        <v>0</v>
      </c>
    </row>
    <row r="1907" spans="43:44" x14ac:dyDescent="0.25">
      <c r="AQ1907" s="138" t="s">
        <v>54</v>
      </c>
      <c r="AR1907" s="35">
        <v>0</v>
      </c>
    </row>
    <row r="1908" spans="43:44" x14ac:dyDescent="0.25">
      <c r="AQ1908" s="139" t="s">
        <v>60</v>
      </c>
      <c r="AR1908" s="35">
        <v>0</v>
      </c>
    </row>
    <row r="1909" spans="43:44" x14ac:dyDescent="0.25">
      <c r="AQ1909" s="16">
        <v>478</v>
      </c>
      <c r="AR1909" s="35">
        <v>0</v>
      </c>
    </row>
    <row r="1910" spans="43:44" x14ac:dyDescent="0.25">
      <c r="AQ1910" s="136" t="s">
        <v>54</v>
      </c>
      <c r="AR1910" s="35">
        <v>0</v>
      </c>
    </row>
    <row r="1911" spans="43:44" x14ac:dyDescent="0.25">
      <c r="AQ1911" s="138" t="s">
        <v>54</v>
      </c>
      <c r="AR1911" s="35">
        <v>0</v>
      </c>
    </row>
    <row r="1912" spans="43:44" x14ac:dyDescent="0.25">
      <c r="AQ1912" s="139" t="s">
        <v>60</v>
      </c>
      <c r="AR1912" s="35">
        <v>0</v>
      </c>
    </row>
    <row r="1913" spans="43:44" x14ac:dyDescent="0.25">
      <c r="AQ1913" s="16">
        <v>479</v>
      </c>
      <c r="AR1913" s="35">
        <v>0</v>
      </c>
    </row>
    <row r="1914" spans="43:44" x14ac:dyDescent="0.25">
      <c r="AQ1914" s="136" t="s">
        <v>54</v>
      </c>
      <c r="AR1914" s="35">
        <v>0</v>
      </c>
    </row>
    <row r="1915" spans="43:44" x14ac:dyDescent="0.25">
      <c r="AQ1915" s="138" t="s">
        <v>54</v>
      </c>
      <c r="AR1915" s="35">
        <v>0</v>
      </c>
    </row>
    <row r="1916" spans="43:44" x14ac:dyDescent="0.25">
      <c r="AQ1916" s="139" t="s">
        <v>60</v>
      </c>
      <c r="AR1916" s="35">
        <v>0</v>
      </c>
    </row>
    <row r="1917" spans="43:44" x14ac:dyDescent="0.25">
      <c r="AQ1917" s="16">
        <v>480</v>
      </c>
      <c r="AR1917" s="35">
        <v>0</v>
      </c>
    </row>
    <row r="1918" spans="43:44" x14ac:dyDescent="0.25">
      <c r="AQ1918" s="136" t="s">
        <v>54</v>
      </c>
      <c r="AR1918" s="35">
        <v>0</v>
      </c>
    </row>
    <row r="1919" spans="43:44" x14ac:dyDescent="0.25">
      <c r="AQ1919" s="138" t="s">
        <v>54</v>
      </c>
      <c r="AR1919" s="35">
        <v>0</v>
      </c>
    </row>
    <row r="1920" spans="43:44" x14ac:dyDescent="0.25">
      <c r="AQ1920" s="139" t="s">
        <v>60</v>
      </c>
      <c r="AR1920" s="35">
        <v>0</v>
      </c>
    </row>
    <row r="1921" spans="43:44" x14ac:dyDescent="0.25">
      <c r="AQ1921" s="16">
        <v>481</v>
      </c>
      <c r="AR1921" s="35">
        <v>0</v>
      </c>
    </row>
    <row r="1922" spans="43:44" x14ac:dyDescent="0.25">
      <c r="AQ1922" s="136" t="s">
        <v>54</v>
      </c>
      <c r="AR1922" s="35">
        <v>0</v>
      </c>
    </row>
    <row r="1923" spans="43:44" x14ac:dyDescent="0.25">
      <c r="AQ1923" s="138" t="s">
        <v>54</v>
      </c>
      <c r="AR1923" s="35">
        <v>0</v>
      </c>
    </row>
    <row r="1924" spans="43:44" x14ac:dyDescent="0.25">
      <c r="AQ1924" s="139" t="s">
        <v>60</v>
      </c>
      <c r="AR1924" s="35">
        <v>0</v>
      </c>
    </row>
    <row r="1925" spans="43:44" x14ac:dyDescent="0.25">
      <c r="AQ1925" s="16">
        <v>482</v>
      </c>
      <c r="AR1925" s="35">
        <v>0</v>
      </c>
    </row>
    <row r="1926" spans="43:44" x14ac:dyDescent="0.25">
      <c r="AQ1926" s="136" t="s">
        <v>54</v>
      </c>
      <c r="AR1926" s="35">
        <v>0</v>
      </c>
    </row>
    <row r="1927" spans="43:44" x14ac:dyDescent="0.25">
      <c r="AQ1927" s="138" t="s">
        <v>54</v>
      </c>
      <c r="AR1927" s="35">
        <v>0</v>
      </c>
    </row>
    <row r="1928" spans="43:44" x14ac:dyDescent="0.25">
      <c r="AQ1928" s="139" t="s">
        <v>60</v>
      </c>
      <c r="AR1928" s="35">
        <v>0</v>
      </c>
    </row>
    <row r="1929" spans="43:44" x14ac:dyDescent="0.25">
      <c r="AQ1929" s="16">
        <v>483</v>
      </c>
      <c r="AR1929" s="35">
        <v>0</v>
      </c>
    </row>
    <row r="1930" spans="43:44" x14ac:dyDescent="0.25">
      <c r="AQ1930" s="136" t="s">
        <v>54</v>
      </c>
      <c r="AR1930" s="35">
        <v>0</v>
      </c>
    </row>
    <row r="1931" spans="43:44" x14ac:dyDescent="0.25">
      <c r="AQ1931" s="138" t="s">
        <v>54</v>
      </c>
      <c r="AR1931" s="35">
        <v>0</v>
      </c>
    </row>
    <row r="1932" spans="43:44" x14ac:dyDescent="0.25">
      <c r="AQ1932" s="139" t="s">
        <v>60</v>
      </c>
      <c r="AR1932" s="35">
        <v>0</v>
      </c>
    </row>
    <row r="1933" spans="43:44" x14ac:dyDescent="0.25">
      <c r="AQ1933" s="16">
        <v>484</v>
      </c>
      <c r="AR1933" s="35">
        <v>0</v>
      </c>
    </row>
    <row r="1934" spans="43:44" x14ac:dyDescent="0.25">
      <c r="AQ1934" s="136" t="s">
        <v>54</v>
      </c>
      <c r="AR1934" s="35">
        <v>0</v>
      </c>
    </row>
    <row r="1935" spans="43:44" x14ac:dyDescent="0.25">
      <c r="AQ1935" s="138" t="s">
        <v>54</v>
      </c>
      <c r="AR1935" s="35">
        <v>0</v>
      </c>
    </row>
    <row r="1936" spans="43:44" x14ac:dyDescent="0.25">
      <c r="AQ1936" s="139" t="s">
        <v>60</v>
      </c>
      <c r="AR1936" s="35">
        <v>0</v>
      </c>
    </row>
    <row r="1937" spans="43:44" x14ac:dyDescent="0.25">
      <c r="AQ1937" s="16">
        <v>485</v>
      </c>
      <c r="AR1937" s="35">
        <v>0</v>
      </c>
    </row>
    <row r="1938" spans="43:44" x14ac:dyDescent="0.25">
      <c r="AQ1938" s="136" t="s">
        <v>54</v>
      </c>
      <c r="AR1938" s="35">
        <v>0</v>
      </c>
    </row>
    <row r="1939" spans="43:44" x14ac:dyDescent="0.25">
      <c r="AQ1939" s="138" t="s">
        <v>54</v>
      </c>
      <c r="AR1939" s="35">
        <v>0</v>
      </c>
    </row>
    <row r="1940" spans="43:44" x14ac:dyDescent="0.25">
      <c r="AQ1940" s="139" t="s">
        <v>60</v>
      </c>
      <c r="AR1940" s="35">
        <v>0</v>
      </c>
    </row>
    <row r="1941" spans="43:44" x14ac:dyDescent="0.25">
      <c r="AQ1941" s="16">
        <v>486</v>
      </c>
      <c r="AR1941" s="35">
        <v>0</v>
      </c>
    </row>
    <row r="1942" spans="43:44" x14ac:dyDescent="0.25">
      <c r="AQ1942" s="136" t="s">
        <v>54</v>
      </c>
      <c r="AR1942" s="35">
        <v>0</v>
      </c>
    </row>
    <row r="1943" spans="43:44" x14ac:dyDescent="0.25">
      <c r="AQ1943" s="138" t="s">
        <v>54</v>
      </c>
      <c r="AR1943" s="35">
        <v>0</v>
      </c>
    </row>
    <row r="1944" spans="43:44" x14ac:dyDescent="0.25">
      <c r="AQ1944" s="139" t="s">
        <v>60</v>
      </c>
      <c r="AR1944" s="35">
        <v>0</v>
      </c>
    </row>
    <row r="1945" spans="43:44" x14ac:dyDescent="0.25">
      <c r="AQ1945" s="16">
        <v>487</v>
      </c>
      <c r="AR1945" s="35">
        <v>0</v>
      </c>
    </row>
    <row r="1946" spans="43:44" x14ac:dyDescent="0.25">
      <c r="AQ1946" s="136" t="s">
        <v>54</v>
      </c>
      <c r="AR1946" s="35">
        <v>0</v>
      </c>
    </row>
    <row r="1947" spans="43:44" x14ac:dyDescent="0.25">
      <c r="AQ1947" s="138" t="s">
        <v>54</v>
      </c>
      <c r="AR1947" s="35">
        <v>0</v>
      </c>
    </row>
    <row r="1948" spans="43:44" x14ac:dyDescent="0.25">
      <c r="AQ1948" s="139" t="s">
        <v>60</v>
      </c>
      <c r="AR1948" s="35">
        <v>0</v>
      </c>
    </row>
    <row r="1949" spans="43:44" x14ac:dyDescent="0.25">
      <c r="AQ1949" s="16">
        <v>488</v>
      </c>
      <c r="AR1949" s="35">
        <v>0</v>
      </c>
    </row>
    <row r="1950" spans="43:44" x14ac:dyDescent="0.25">
      <c r="AQ1950" s="136" t="s">
        <v>54</v>
      </c>
      <c r="AR1950" s="35">
        <v>0</v>
      </c>
    </row>
    <row r="1951" spans="43:44" x14ac:dyDescent="0.25">
      <c r="AQ1951" s="138" t="s">
        <v>54</v>
      </c>
      <c r="AR1951" s="35">
        <v>0</v>
      </c>
    </row>
    <row r="1952" spans="43:44" x14ac:dyDescent="0.25">
      <c r="AQ1952" s="139" t="s">
        <v>60</v>
      </c>
      <c r="AR1952" s="35">
        <v>0</v>
      </c>
    </row>
    <row r="1953" spans="43:44" x14ac:dyDescent="0.25">
      <c r="AQ1953" s="16">
        <v>489</v>
      </c>
      <c r="AR1953" s="35">
        <v>0</v>
      </c>
    </row>
    <row r="1954" spans="43:44" x14ac:dyDescent="0.25">
      <c r="AQ1954" s="136" t="s">
        <v>54</v>
      </c>
      <c r="AR1954" s="35">
        <v>0</v>
      </c>
    </row>
    <row r="1955" spans="43:44" x14ac:dyDescent="0.25">
      <c r="AQ1955" s="138" t="s">
        <v>54</v>
      </c>
      <c r="AR1955" s="35">
        <v>0</v>
      </c>
    </row>
    <row r="1956" spans="43:44" x14ac:dyDescent="0.25">
      <c r="AQ1956" s="139" t="s">
        <v>60</v>
      </c>
      <c r="AR1956" s="35">
        <v>0</v>
      </c>
    </row>
    <row r="1957" spans="43:44" x14ac:dyDescent="0.25">
      <c r="AQ1957" s="16">
        <v>490</v>
      </c>
      <c r="AR1957" s="35">
        <v>0</v>
      </c>
    </row>
    <row r="1958" spans="43:44" x14ac:dyDescent="0.25">
      <c r="AQ1958" s="136" t="s">
        <v>54</v>
      </c>
      <c r="AR1958" s="35">
        <v>0</v>
      </c>
    </row>
    <row r="1959" spans="43:44" x14ac:dyDescent="0.25">
      <c r="AQ1959" s="138" t="s">
        <v>54</v>
      </c>
      <c r="AR1959" s="35">
        <v>0</v>
      </c>
    </row>
    <row r="1960" spans="43:44" x14ac:dyDescent="0.25">
      <c r="AQ1960" s="139" t="s">
        <v>60</v>
      </c>
      <c r="AR1960" s="35">
        <v>0</v>
      </c>
    </row>
    <row r="1961" spans="43:44" x14ac:dyDescent="0.25">
      <c r="AQ1961" s="16">
        <v>491</v>
      </c>
      <c r="AR1961" s="35">
        <v>0</v>
      </c>
    </row>
    <row r="1962" spans="43:44" x14ac:dyDescent="0.25">
      <c r="AQ1962" s="136" t="s">
        <v>54</v>
      </c>
      <c r="AR1962" s="35">
        <v>0</v>
      </c>
    </row>
    <row r="1963" spans="43:44" x14ac:dyDescent="0.25">
      <c r="AQ1963" s="138" t="s">
        <v>54</v>
      </c>
      <c r="AR1963" s="35">
        <v>0</v>
      </c>
    </row>
    <row r="1964" spans="43:44" x14ac:dyDescent="0.25">
      <c r="AQ1964" s="139" t="s">
        <v>60</v>
      </c>
      <c r="AR1964" s="35">
        <v>0</v>
      </c>
    </row>
    <row r="1965" spans="43:44" x14ac:dyDescent="0.25">
      <c r="AQ1965" s="16">
        <v>492</v>
      </c>
      <c r="AR1965" s="35">
        <v>0</v>
      </c>
    </row>
    <row r="1966" spans="43:44" x14ac:dyDescent="0.25">
      <c r="AQ1966" s="136" t="s">
        <v>54</v>
      </c>
      <c r="AR1966" s="35">
        <v>0</v>
      </c>
    </row>
    <row r="1967" spans="43:44" x14ac:dyDescent="0.25">
      <c r="AQ1967" s="138" t="s">
        <v>54</v>
      </c>
      <c r="AR1967" s="35">
        <v>0</v>
      </c>
    </row>
    <row r="1968" spans="43:44" x14ac:dyDescent="0.25">
      <c r="AQ1968" s="139" t="s">
        <v>60</v>
      </c>
      <c r="AR1968" s="35">
        <v>0</v>
      </c>
    </row>
    <row r="1969" spans="43:44" x14ac:dyDescent="0.25">
      <c r="AQ1969" s="16">
        <v>493</v>
      </c>
      <c r="AR1969" s="35">
        <v>0</v>
      </c>
    </row>
    <row r="1970" spans="43:44" x14ac:dyDescent="0.25">
      <c r="AQ1970" s="136" t="s">
        <v>54</v>
      </c>
      <c r="AR1970" s="35">
        <v>0</v>
      </c>
    </row>
    <row r="1971" spans="43:44" x14ac:dyDescent="0.25">
      <c r="AQ1971" s="138" t="s">
        <v>54</v>
      </c>
      <c r="AR1971" s="35">
        <v>0</v>
      </c>
    </row>
    <row r="1972" spans="43:44" x14ac:dyDescent="0.25">
      <c r="AQ1972" s="139" t="s">
        <v>60</v>
      </c>
      <c r="AR1972" s="35">
        <v>0</v>
      </c>
    </row>
    <row r="1973" spans="43:44" x14ac:dyDescent="0.25">
      <c r="AQ1973" s="16">
        <v>494</v>
      </c>
      <c r="AR1973" s="35">
        <v>0</v>
      </c>
    </row>
    <row r="1974" spans="43:44" x14ac:dyDescent="0.25">
      <c r="AQ1974" s="136" t="s">
        <v>54</v>
      </c>
      <c r="AR1974" s="35">
        <v>0</v>
      </c>
    </row>
    <row r="1975" spans="43:44" x14ac:dyDescent="0.25">
      <c r="AQ1975" s="138" t="s">
        <v>54</v>
      </c>
      <c r="AR1975" s="35">
        <v>0</v>
      </c>
    </row>
    <row r="1976" spans="43:44" x14ac:dyDescent="0.25">
      <c r="AQ1976" s="139" t="s">
        <v>60</v>
      </c>
      <c r="AR1976" s="35">
        <v>0</v>
      </c>
    </row>
    <row r="1977" spans="43:44" x14ac:dyDescent="0.25">
      <c r="AQ1977" s="16">
        <v>495</v>
      </c>
      <c r="AR1977" s="35">
        <v>0</v>
      </c>
    </row>
    <row r="1978" spans="43:44" x14ac:dyDescent="0.25">
      <c r="AQ1978" s="136" t="s">
        <v>54</v>
      </c>
      <c r="AR1978" s="35">
        <v>0</v>
      </c>
    </row>
    <row r="1979" spans="43:44" x14ac:dyDescent="0.25">
      <c r="AQ1979" s="138" t="s">
        <v>54</v>
      </c>
      <c r="AR1979" s="35">
        <v>0</v>
      </c>
    </row>
    <row r="1980" spans="43:44" x14ac:dyDescent="0.25">
      <c r="AQ1980" s="139" t="s">
        <v>60</v>
      </c>
      <c r="AR1980" s="35">
        <v>0</v>
      </c>
    </row>
    <row r="1981" spans="43:44" x14ac:dyDescent="0.25">
      <c r="AQ1981" s="16">
        <v>496</v>
      </c>
      <c r="AR1981" s="35">
        <v>0</v>
      </c>
    </row>
    <row r="1982" spans="43:44" x14ac:dyDescent="0.25">
      <c r="AQ1982" s="136" t="s">
        <v>54</v>
      </c>
      <c r="AR1982" s="35">
        <v>0</v>
      </c>
    </row>
    <row r="1983" spans="43:44" x14ac:dyDescent="0.25">
      <c r="AQ1983" s="138" t="s">
        <v>54</v>
      </c>
      <c r="AR1983" s="35">
        <v>0</v>
      </c>
    </row>
    <row r="1984" spans="43:44" x14ac:dyDescent="0.25">
      <c r="AQ1984" s="139" t="s">
        <v>60</v>
      </c>
      <c r="AR1984" s="35">
        <v>0</v>
      </c>
    </row>
    <row r="1985" spans="43:44" x14ac:dyDescent="0.25">
      <c r="AQ1985" s="16">
        <v>497</v>
      </c>
      <c r="AR1985" s="35">
        <v>0</v>
      </c>
    </row>
    <row r="1986" spans="43:44" x14ac:dyDescent="0.25">
      <c r="AQ1986" s="136" t="s">
        <v>54</v>
      </c>
      <c r="AR1986" s="35">
        <v>0</v>
      </c>
    </row>
    <row r="1987" spans="43:44" x14ac:dyDescent="0.25">
      <c r="AQ1987" s="138" t="s">
        <v>54</v>
      </c>
      <c r="AR1987" s="35">
        <v>0</v>
      </c>
    </row>
    <row r="1988" spans="43:44" x14ac:dyDescent="0.25">
      <c r="AQ1988" s="139" t="s">
        <v>60</v>
      </c>
      <c r="AR1988" s="35">
        <v>0</v>
      </c>
    </row>
    <row r="1989" spans="43:44" x14ac:dyDescent="0.25">
      <c r="AQ1989" s="16">
        <v>498</v>
      </c>
      <c r="AR1989" s="35">
        <v>0</v>
      </c>
    </row>
    <row r="1990" spans="43:44" x14ac:dyDescent="0.25">
      <c r="AQ1990" s="136" t="s">
        <v>54</v>
      </c>
      <c r="AR1990" s="35">
        <v>0</v>
      </c>
    </row>
    <row r="1991" spans="43:44" x14ac:dyDescent="0.25">
      <c r="AQ1991" s="138" t="s">
        <v>54</v>
      </c>
      <c r="AR1991" s="35">
        <v>0</v>
      </c>
    </row>
    <row r="1992" spans="43:44" x14ac:dyDescent="0.25">
      <c r="AQ1992" s="139" t="s">
        <v>60</v>
      </c>
      <c r="AR1992" s="35">
        <v>0</v>
      </c>
    </row>
    <row r="1993" spans="43:44" x14ac:dyDescent="0.25">
      <c r="AQ1993" s="16">
        <v>499</v>
      </c>
      <c r="AR1993" s="35">
        <v>0</v>
      </c>
    </row>
    <row r="1994" spans="43:44" x14ac:dyDescent="0.25">
      <c r="AQ1994" s="136" t="s">
        <v>54</v>
      </c>
      <c r="AR1994" s="35">
        <v>0</v>
      </c>
    </row>
    <row r="1995" spans="43:44" x14ac:dyDescent="0.25">
      <c r="AQ1995" s="138" t="s">
        <v>54</v>
      </c>
      <c r="AR1995" s="35">
        <v>0</v>
      </c>
    </row>
    <row r="1996" spans="43:44" x14ac:dyDescent="0.25">
      <c r="AQ1996" s="139" t="s">
        <v>60</v>
      </c>
      <c r="AR1996" s="35">
        <v>0</v>
      </c>
    </row>
    <row r="1997" spans="43:44" x14ac:dyDescent="0.25">
      <c r="AQ1997" s="16">
        <v>500</v>
      </c>
      <c r="AR1997" s="35">
        <v>0</v>
      </c>
    </row>
    <row r="1998" spans="43:44" x14ac:dyDescent="0.25">
      <c r="AQ1998" s="136" t="s">
        <v>54</v>
      </c>
      <c r="AR1998" s="35">
        <v>0</v>
      </c>
    </row>
    <row r="1999" spans="43:44" x14ac:dyDescent="0.25">
      <c r="AQ1999" s="138" t="s">
        <v>54</v>
      </c>
      <c r="AR1999" s="35">
        <v>0</v>
      </c>
    </row>
    <row r="2000" spans="43:44" x14ac:dyDescent="0.25">
      <c r="AQ2000" s="139" t="s">
        <v>60</v>
      </c>
      <c r="AR2000" s="35">
        <v>0</v>
      </c>
    </row>
    <row r="2001" spans="43:44" x14ac:dyDescent="0.25">
      <c r="AQ2001" s="16">
        <v>501</v>
      </c>
      <c r="AR2001" s="35">
        <v>0</v>
      </c>
    </row>
    <row r="2002" spans="43:44" x14ac:dyDescent="0.25">
      <c r="AQ2002" s="136" t="s">
        <v>54</v>
      </c>
      <c r="AR2002" s="35">
        <v>0</v>
      </c>
    </row>
    <row r="2003" spans="43:44" x14ac:dyDescent="0.25">
      <c r="AQ2003" s="138" t="s">
        <v>54</v>
      </c>
      <c r="AR2003" s="35">
        <v>0</v>
      </c>
    </row>
    <row r="2004" spans="43:44" x14ac:dyDescent="0.25">
      <c r="AQ2004" s="139" t="s">
        <v>60</v>
      </c>
      <c r="AR2004" s="35">
        <v>0</v>
      </c>
    </row>
    <row r="2005" spans="43:44" x14ac:dyDescent="0.25">
      <c r="AQ2005" s="16">
        <v>502</v>
      </c>
      <c r="AR2005" s="35">
        <v>0</v>
      </c>
    </row>
    <row r="2006" spans="43:44" x14ac:dyDescent="0.25">
      <c r="AQ2006" s="136" t="s">
        <v>54</v>
      </c>
      <c r="AR2006" s="35">
        <v>0</v>
      </c>
    </row>
    <row r="2007" spans="43:44" x14ac:dyDescent="0.25">
      <c r="AQ2007" s="138" t="s">
        <v>54</v>
      </c>
      <c r="AR2007" s="35">
        <v>0</v>
      </c>
    </row>
    <row r="2008" spans="43:44" x14ac:dyDescent="0.25">
      <c r="AQ2008" s="139" t="s">
        <v>60</v>
      </c>
      <c r="AR2008" s="35">
        <v>0</v>
      </c>
    </row>
    <row r="2009" spans="43:44" x14ac:dyDescent="0.25">
      <c r="AQ2009" s="16">
        <v>503</v>
      </c>
      <c r="AR2009" s="35">
        <v>0</v>
      </c>
    </row>
    <row r="2010" spans="43:44" x14ac:dyDescent="0.25">
      <c r="AQ2010" s="136" t="s">
        <v>54</v>
      </c>
      <c r="AR2010" s="35">
        <v>0</v>
      </c>
    </row>
    <row r="2011" spans="43:44" x14ac:dyDescent="0.25">
      <c r="AQ2011" s="138" t="s">
        <v>54</v>
      </c>
      <c r="AR2011" s="35">
        <v>0</v>
      </c>
    </row>
    <row r="2012" spans="43:44" x14ac:dyDescent="0.25">
      <c r="AQ2012" s="139" t="s">
        <v>60</v>
      </c>
      <c r="AR2012" s="35">
        <v>0</v>
      </c>
    </row>
    <row r="2013" spans="43:44" x14ac:dyDescent="0.25">
      <c r="AQ2013" s="16">
        <v>504</v>
      </c>
      <c r="AR2013" s="35">
        <v>0</v>
      </c>
    </row>
    <row r="2014" spans="43:44" x14ac:dyDescent="0.25">
      <c r="AQ2014" s="136" t="s">
        <v>54</v>
      </c>
      <c r="AR2014" s="35">
        <v>0</v>
      </c>
    </row>
    <row r="2015" spans="43:44" x14ac:dyDescent="0.25">
      <c r="AQ2015" s="138" t="s">
        <v>54</v>
      </c>
      <c r="AR2015" s="35">
        <v>0</v>
      </c>
    </row>
    <row r="2016" spans="43:44" x14ac:dyDescent="0.25">
      <c r="AQ2016" s="139" t="s">
        <v>60</v>
      </c>
      <c r="AR2016" s="35">
        <v>0</v>
      </c>
    </row>
    <row r="2017" spans="43:44" x14ac:dyDescent="0.25">
      <c r="AQ2017" s="16">
        <v>505</v>
      </c>
      <c r="AR2017" s="35">
        <v>0</v>
      </c>
    </row>
    <row r="2018" spans="43:44" x14ac:dyDescent="0.25">
      <c r="AQ2018" s="136" t="s">
        <v>54</v>
      </c>
      <c r="AR2018" s="35">
        <v>0</v>
      </c>
    </row>
    <row r="2019" spans="43:44" x14ac:dyDescent="0.25">
      <c r="AQ2019" s="138" t="s">
        <v>54</v>
      </c>
      <c r="AR2019" s="35">
        <v>0</v>
      </c>
    </row>
    <row r="2020" spans="43:44" x14ac:dyDescent="0.25">
      <c r="AQ2020" s="139" t="s">
        <v>60</v>
      </c>
      <c r="AR2020" s="35">
        <v>0</v>
      </c>
    </row>
    <row r="2021" spans="43:44" x14ac:dyDescent="0.25">
      <c r="AQ2021" s="16">
        <v>506</v>
      </c>
      <c r="AR2021" s="35">
        <v>0</v>
      </c>
    </row>
    <row r="2022" spans="43:44" x14ac:dyDescent="0.25">
      <c r="AQ2022" s="136" t="s">
        <v>54</v>
      </c>
      <c r="AR2022" s="35">
        <v>0</v>
      </c>
    </row>
    <row r="2023" spans="43:44" x14ac:dyDescent="0.25">
      <c r="AQ2023" s="138" t="s">
        <v>54</v>
      </c>
      <c r="AR2023" s="35">
        <v>0</v>
      </c>
    </row>
    <row r="2024" spans="43:44" x14ac:dyDescent="0.25">
      <c r="AQ2024" s="139" t="s">
        <v>60</v>
      </c>
      <c r="AR2024" s="35">
        <v>0</v>
      </c>
    </row>
    <row r="2025" spans="43:44" x14ac:dyDescent="0.25">
      <c r="AQ2025" s="16">
        <v>507</v>
      </c>
      <c r="AR2025" s="35">
        <v>0</v>
      </c>
    </row>
    <row r="2026" spans="43:44" x14ac:dyDescent="0.25">
      <c r="AQ2026" s="136" t="s">
        <v>54</v>
      </c>
      <c r="AR2026" s="35">
        <v>0</v>
      </c>
    </row>
    <row r="2027" spans="43:44" x14ac:dyDescent="0.25">
      <c r="AQ2027" s="138" t="s">
        <v>54</v>
      </c>
      <c r="AR2027" s="35">
        <v>0</v>
      </c>
    </row>
    <row r="2028" spans="43:44" x14ac:dyDescent="0.25">
      <c r="AQ2028" s="139" t="s">
        <v>60</v>
      </c>
      <c r="AR2028" s="35">
        <v>0</v>
      </c>
    </row>
    <row r="2029" spans="43:44" x14ac:dyDescent="0.25">
      <c r="AQ2029" s="16">
        <v>508</v>
      </c>
      <c r="AR2029" s="35">
        <v>0</v>
      </c>
    </row>
    <row r="2030" spans="43:44" x14ac:dyDescent="0.25">
      <c r="AQ2030" s="136" t="s">
        <v>54</v>
      </c>
      <c r="AR2030" s="35">
        <v>0</v>
      </c>
    </row>
    <row r="2031" spans="43:44" x14ac:dyDescent="0.25">
      <c r="AQ2031" s="138" t="s">
        <v>54</v>
      </c>
      <c r="AR2031" s="35">
        <v>0</v>
      </c>
    </row>
    <row r="2032" spans="43:44" x14ac:dyDescent="0.25">
      <c r="AQ2032" s="139" t="s">
        <v>60</v>
      </c>
      <c r="AR2032" s="35">
        <v>0</v>
      </c>
    </row>
    <row r="2033" spans="43:44" x14ac:dyDescent="0.25">
      <c r="AQ2033" s="16">
        <v>509</v>
      </c>
      <c r="AR2033" s="35">
        <v>0</v>
      </c>
    </row>
    <row r="2034" spans="43:44" x14ac:dyDescent="0.25">
      <c r="AQ2034" s="136" t="s">
        <v>54</v>
      </c>
      <c r="AR2034" s="35">
        <v>0</v>
      </c>
    </row>
    <row r="2035" spans="43:44" x14ac:dyDescent="0.25">
      <c r="AQ2035" s="138" t="s">
        <v>54</v>
      </c>
      <c r="AR2035" s="35">
        <v>0</v>
      </c>
    </row>
    <row r="2036" spans="43:44" x14ac:dyDescent="0.25">
      <c r="AQ2036" s="139" t="s">
        <v>60</v>
      </c>
      <c r="AR2036" s="35">
        <v>0</v>
      </c>
    </row>
    <row r="2037" spans="43:44" x14ac:dyDescent="0.25">
      <c r="AQ2037" s="16">
        <v>510</v>
      </c>
      <c r="AR2037" s="35">
        <v>0</v>
      </c>
    </row>
    <row r="2038" spans="43:44" x14ac:dyDescent="0.25">
      <c r="AQ2038" s="136" t="s">
        <v>54</v>
      </c>
      <c r="AR2038" s="35">
        <v>0</v>
      </c>
    </row>
    <row r="2039" spans="43:44" x14ac:dyDescent="0.25">
      <c r="AQ2039" s="138" t="s">
        <v>54</v>
      </c>
      <c r="AR2039" s="35">
        <v>0</v>
      </c>
    </row>
    <row r="2040" spans="43:44" x14ac:dyDescent="0.25">
      <c r="AQ2040" s="139" t="s">
        <v>60</v>
      </c>
      <c r="AR2040" s="35">
        <v>0</v>
      </c>
    </row>
    <row r="2041" spans="43:44" x14ac:dyDescent="0.25">
      <c r="AQ2041" s="16">
        <v>511</v>
      </c>
      <c r="AR2041" s="35">
        <v>0</v>
      </c>
    </row>
    <row r="2042" spans="43:44" x14ac:dyDescent="0.25">
      <c r="AQ2042" s="136" t="s">
        <v>54</v>
      </c>
      <c r="AR2042" s="35">
        <v>0</v>
      </c>
    </row>
    <row r="2043" spans="43:44" x14ac:dyDescent="0.25">
      <c r="AQ2043" s="138" t="s">
        <v>54</v>
      </c>
      <c r="AR2043" s="35">
        <v>0</v>
      </c>
    </row>
    <row r="2044" spans="43:44" x14ac:dyDescent="0.25">
      <c r="AQ2044" s="139" t="s">
        <v>60</v>
      </c>
      <c r="AR2044" s="35">
        <v>0</v>
      </c>
    </row>
    <row r="2045" spans="43:44" x14ac:dyDescent="0.25">
      <c r="AQ2045" s="16">
        <v>512</v>
      </c>
      <c r="AR2045" s="35">
        <v>0</v>
      </c>
    </row>
    <row r="2046" spans="43:44" x14ac:dyDescent="0.25">
      <c r="AQ2046" s="136" t="s">
        <v>54</v>
      </c>
      <c r="AR2046" s="35">
        <v>0</v>
      </c>
    </row>
    <row r="2047" spans="43:44" x14ac:dyDescent="0.25">
      <c r="AQ2047" s="138" t="s">
        <v>54</v>
      </c>
      <c r="AR2047" s="35">
        <v>0</v>
      </c>
    </row>
    <row r="2048" spans="43:44" x14ac:dyDescent="0.25">
      <c r="AQ2048" s="139" t="s">
        <v>60</v>
      </c>
      <c r="AR2048" s="35">
        <v>0</v>
      </c>
    </row>
    <row r="2049" spans="43:44" x14ac:dyDescent="0.25">
      <c r="AQ2049" s="16">
        <v>513</v>
      </c>
      <c r="AR2049" s="35">
        <v>0</v>
      </c>
    </row>
    <row r="2050" spans="43:44" x14ac:dyDescent="0.25">
      <c r="AQ2050" s="136" t="s">
        <v>54</v>
      </c>
      <c r="AR2050" s="35">
        <v>0</v>
      </c>
    </row>
    <row r="2051" spans="43:44" x14ac:dyDescent="0.25">
      <c r="AQ2051" s="138" t="s">
        <v>54</v>
      </c>
      <c r="AR2051" s="35">
        <v>0</v>
      </c>
    </row>
    <row r="2052" spans="43:44" x14ac:dyDescent="0.25">
      <c r="AQ2052" s="139" t="s">
        <v>60</v>
      </c>
      <c r="AR2052" s="35">
        <v>0</v>
      </c>
    </row>
    <row r="2053" spans="43:44" x14ac:dyDescent="0.25">
      <c r="AQ2053" s="16">
        <v>514</v>
      </c>
      <c r="AR2053" s="35">
        <v>0</v>
      </c>
    </row>
    <row r="2054" spans="43:44" x14ac:dyDescent="0.25">
      <c r="AQ2054" s="136" t="s">
        <v>54</v>
      </c>
      <c r="AR2054" s="35">
        <v>0</v>
      </c>
    </row>
    <row r="2055" spans="43:44" x14ac:dyDescent="0.25">
      <c r="AQ2055" s="138" t="s">
        <v>54</v>
      </c>
      <c r="AR2055" s="35">
        <v>0</v>
      </c>
    </row>
    <row r="2056" spans="43:44" x14ac:dyDescent="0.25">
      <c r="AQ2056" s="139" t="s">
        <v>60</v>
      </c>
      <c r="AR2056" s="35">
        <v>0</v>
      </c>
    </row>
    <row r="2057" spans="43:44" x14ac:dyDescent="0.25">
      <c r="AQ2057" s="16">
        <v>515</v>
      </c>
      <c r="AR2057" s="35">
        <v>0</v>
      </c>
    </row>
    <row r="2058" spans="43:44" x14ac:dyDescent="0.25">
      <c r="AQ2058" s="136" t="s">
        <v>54</v>
      </c>
      <c r="AR2058" s="35">
        <v>0</v>
      </c>
    </row>
    <row r="2059" spans="43:44" x14ac:dyDescent="0.25">
      <c r="AQ2059" s="138" t="s">
        <v>54</v>
      </c>
      <c r="AR2059" s="35">
        <v>0</v>
      </c>
    </row>
    <row r="2060" spans="43:44" x14ac:dyDescent="0.25">
      <c r="AQ2060" s="139" t="s">
        <v>60</v>
      </c>
      <c r="AR2060" s="35">
        <v>0</v>
      </c>
    </row>
    <row r="2061" spans="43:44" x14ac:dyDescent="0.25">
      <c r="AQ2061" s="16">
        <v>516</v>
      </c>
      <c r="AR2061" s="35">
        <v>0</v>
      </c>
    </row>
    <row r="2062" spans="43:44" x14ac:dyDescent="0.25">
      <c r="AQ2062" s="136" t="s">
        <v>54</v>
      </c>
      <c r="AR2062" s="35">
        <v>0</v>
      </c>
    </row>
    <row r="2063" spans="43:44" x14ac:dyDescent="0.25">
      <c r="AQ2063" s="138" t="s">
        <v>54</v>
      </c>
      <c r="AR2063" s="35">
        <v>0</v>
      </c>
    </row>
    <row r="2064" spans="43:44" x14ac:dyDescent="0.25">
      <c r="AQ2064" s="139" t="s">
        <v>60</v>
      </c>
      <c r="AR2064" s="35">
        <v>0</v>
      </c>
    </row>
    <row r="2065" spans="43:44" x14ac:dyDescent="0.25">
      <c r="AQ2065" s="16">
        <v>517</v>
      </c>
      <c r="AR2065" s="35">
        <v>0</v>
      </c>
    </row>
    <row r="2066" spans="43:44" x14ac:dyDescent="0.25">
      <c r="AQ2066" s="136" t="s">
        <v>54</v>
      </c>
      <c r="AR2066" s="35">
        <v>0</v>
      </c>
    </row>
    <row r="2067" spans="43:44" x14ac:dyDescent="0.25">
      <c r="AQ2067" s="138" t="s">
        <v>54</v>
      </c>
      <c r="AR2067" s="35">
        <v>0</v>
      </c>
    </row>
    <row r="2068" spans="43:44" x14ac:dyDescent="0.25">
      <c r="AQ2068" s="139" t="s">
        <v>60</v>
      </c>
      <c r="AR2068" s="35">
        <v>0</v>
      </c>
    </row>
    <row r="2069" spans="43:44" x14ac:dyDescent="0.25">
      <c r="AQ2069" s="16">
        <v>518</v>
      </c>
      <c r="AR2069" s="35">
        <v>0</v>
      </c>
    </row>
    <row r="2070" spans="43:44" x14ac:dyDescent="0.25">
      <c r="AQ2070" s="136" t="s">
        <v>54</v>
      </c>
      <c r="AR2070" s="35">
        <v>0</v>
      </c>
    </row>
    <row r="2071" spans="43:44" x14ac:dyDescent="0.25">
      <c r="AQ2071" s="138" t="s">
        <v>54</v>
      </c>
      <c r="AR2071" s="35">
        <v>0</v>
      </c>
    </row>
    <row r="2072" spans="43:44" x14ac:dyDescent="0.25">
      <c r="AQ2072" s="139" t="s">
        <v>60</v>
      </c>
      <c r="AR2072" s="35">
        <v>0</v>
      </c>
    </row>
    <row r="2073" spans="43:44" x14ac:dyDescent="0.25">
      <c r="AQ2073" s="16">
        <v>519</v>
      </c>
      <c r="AR2073" s="35">
        <v>0</v>
      </c>
    </row>
    <row r="2074" spans="43:44" x14ac:dyDescent="0.25">
      <c r="AQ2074" s="136" t="s">
        <v>54</v>
      </c>
      <c r="AR2074" s="35">
        <v>0</v>
      </c>
    </row>
    <row r="2075" spans="43:44" x14ac:dyDescent="0.25">
      <c r="AQ2075" s="138" t="s">
        <v>54</v>
      </c>
      <c r="AR2075" s="35">
        <v>0</v>
      </c>
    </row>
    <row r="2076" spans="43:44" x14ac:dyDescent="0.25">
      <c r="AQ2076" s="139" t="s">
        <v>60</v>
      </c>
      <c r="AR2076" s="35">
        <v>0</v>
      </c>
    </row>
    <row r="2077" spans="43:44" x14ac:dyDescent="0.25">
      <c r="AQ2077" s="16">
        <v>520</v>
      </c>
      <c r="AR2077" s="35">
        <v>0</v>
      </c>
    </row>
    <row r="2078" spans="43:44" x14ac:dyDescent="0.25">
      <c r="AQ2078" s="136" t="s">
        <v>54</v>
      </c>
      <c r="AR2078" s="35">
        <v>0</v>
      </c>
    </row>
    <row r="2079" spans="43:44" x14ac:dyDescent="0.25">
      <c r="AQ2079" s="138" t="s">
        <v>54</v>
      </c>
      <c r="AR2079" s="35">
        <v>0</v>
      </c>
    </row>
    <row r="2080" spans="43:44" x14ac:dyDescent="0.25">
      <c r="AQ2080" s="139" t="s">
        <v>60</v>
      </c>
      <c r="AR2080" s="35">
        <v>0</v>
      </c>
    </row>
    <row r="2081" spans="43:44" x14ac:dyDescent="0.25">
      <c r="AQ2081" s="16">
        <v>521</v>
      </c>
      <c r="AR2081" s="35">
        <v>0</v>
      </c>
    </row>
    <row r="2082" spans="43:44" x14ac:dyDescent="0.25">
      <c r="AQ2082" s="136" t="s">
        <v>54</v>
      </c>
      <c r="AR2082" s="35">
        <v>0</v>
      </c>
    </row>
    <row r="2083" spans="43:44" x14ac:dyDescent="0.25">
      <c r="AQ2083" s="138" t="s">
        <v>54</v>
      </c>
      <c r="AR2083" s="35">
        <v>0</v>
      </c>
    </row>
    <row r="2084" spans="43:44" x14ac:dyDescent="0.25">
      <c r="AQ2084" s="139" t="s">
        <v>60</v>
      </c>
      <c r="AR2084" s="35">
        <v>0</v>
      </c>
    </row>
    <row r="2085" spans="43:44" x14ac:dyDescent="0.25">
      <c r="AQ2085" s="16">
        <v>522</v>
      </c>
      <c r="AR2085" s="35">
        <v>0</v>
      </c>
    </row>
    <row r="2086" spans="43:44" x14ac:dyDescent="0.25">
      <c r="AQ2086" s="136" t="s">
        <v>54</v>
      </c>
      <c r="AR2086" s="35">
        <v>0</v>
      </c>
    </row>
    <row r="2087" spans="43:44" x14ac:dyDescent="0.25">
      <c r="AQ2087" s="138" t="s">
        <v>54</v>
      </c>
      <c r="AR2087" s="35">
        <v>0</v>
      </c>
    </row>
    <row r="2088" spans="43:44" x14ac:dyDescent="0.25">
      <c r="AQ2088" s="139" t="s">
        <v>60</v>
      </c>
      <c r="AR2088" s="35">
        <v>0</v>
      </c>
    </row>
    <row r="2089" spans="43:44" x14ac:dyDescent="0.25">
      <c r="AQ2089" s="16">
        <v>523</v>
      </c>
      <c r="AR2089" s="35">
        <v>0</v>
      </c>
    </row>
    <row r="2090" spans="43:44" x14ac:dyDescent="0.25">
      <c r="AQ2090" s="136" t="s">
        <v>54</v>
      </c>
      <c r="AR2090" s="35">
        <v>0</v>
      </c>
    </row>
    <row r="2091" spans="43:44" x14ac:dyDescent="0.25">
      <c r="AQ2091" s="138" t="s">
        <v>54</v>
      </c>
      <c r="AR2091" s="35">
        <v>0</v>
      </c>
    </row>
    <row r="2092" spans="43:44" x14ac:dyDescent="0.25">
      <c r="AQ2092" s="139" t="s">
        <v>60</v>
      </c>
      <c r="AR2092" s="35">
        <v>0</v>
      </c>
    </row>
    <row r="2093" spans="43:44" x14ac:dyDescent="0.25">
      <c r="AQ2093" s="16">
        <v>524</v>
      </c>
      <c r="AR2093" s="35">
        <v>0</v>
      </c>
    </row>
    <row r="2094" spans="43:44" x14ac:dyDescent="0.25">
      <c r="AQ2094" s="136" t="s">
        <v>54</v>
      </c>
      <c r="AR2094" s="35">
        <v>0</v>
      </c>
    </row>
    <row r="2095" spans="43:44" x14ac:dyDescent="0.25">
      <c r="AQ2095" s="138" t="s">
        <v>54</v>
      </c>
      <c r="AR2095" s="35">
        <v>0</v>
      </c>
    </row>
    <row r="2096" spans="43:44" x14ac:dyDescent="0.25">
      <c r="AQ2096" s="139" t="s">
        <v>60</v>
      </c>
      <c r="AR2096" s="35">
        <v>0</v>
      </c>
    </row>
    <row r="2097" spans="43:44" x14ac:dyDescent="0.25">
      <c r="AQ2097" s="16">
        <v>525</v>
      </c>
      <c r="AR2097" s="35">
        <v>0</v>
      </c>
    </row>
    <row r="2098" spans="43:44" x14ac:dyDescent="0.25">
      <c r="AQ2098" s="136" t="s">
        <v>54</v>
      </c>
      <c r="AR2098" s="35">
        <v>0</v>
      </c>
    </row>
    <row r="2099" spans="43:44" x14ac:dyDescent="0.25">
      <c r="AQ2099" s="138" t="s">
        <v>54</v>
      </c>
      <c r="AR2099" s="35">
        <v>0</v>
      </c>
    </row>
    <row r="2100" spans="43:44" x14ac:dyDescent="0.25">
      <c r="AQ2100" s="139" t="s">
        <v>60</v>
      </c>
      <c r="AR2100" s="35">
        <v>0</v>
      </c>
    </row>
    <row r="2101" spans="43:44" x14ac:dyDescent="0.25">
      <c r="AQ2101" s="16">
        <v>526</v>
      </c>
      <c r="AR2101" s="35">
        <v>0</v>
      </c>
    </row>
    <row r="2102" spans="43:44" x14ac:dyDescent="0.25">
      <c r="AQ2102" s="136" t="s">
        <v>54</v>
      </c>
      <c r="AR2102" s="35">
        <v>0</v>
      </c>
    </row>
    <row r="2103" spans="43:44" x14ac:dyDescent="0.25">
      <c r="AQ2103" s="138" t="s">
        <v>54</v>
      </c>
      <c r="AR2103" s="35">
        <v>0</v>
      </c>
    </row>
    <row r="2104" spans="43:44" x14ac:dyDescent="0.25">
      <c r="AQ2104" s="139" t="s">
        <v>60</v>
      </c>
      <c r="AR2104" s="35">
        <v>0</v>
      </c>
    </row>
    <row r="2105" spans="43:44" x14ac:dyDescent="0.25">
      <c r="AQ2105" s="16">
        <v>527</v>
      </c>
      <c r="AR2105" s="35">
        <v>0</v>
      </c>
    </row>
    <row r="2106" spans="43:44" x14ac:dyDescent="0.25">
      <c r="AQ2106" s="136" t="s">
        <v>54</v>
      </c>
      <c r="AR2106" s="35">
        <v>0</v>
      </c>
    </row>
    <row r="2107" spans="43:44" x14ac:dyDescent="0.25">
      <c r="AQ2107" s="138" t="s">
        <v>54</v>
      </c>
      <c r="AR2107" s="35">
        <v>0</v>
      </c>
    </row>
    <row r="2108" spans="43:44" x14ac:dyDescent="0.25">
      <c r="AQ2108" s="139" t="s">
        <v>60</v>
      </c>
      <c r="AR2108" s="35">
        <v>0</v>
      </c>
    </row>
    <row r="2109" spans="43:44" x14ac:dyDescent="0.25">
      <c r="AQ2109" s="16">
        <v>528</v>
      </c>
      <c r="AR2109" s="35">
        <v>0</v>
      </c>
    </row>
    <row r="2110" spans="43:44" x14ac:dyDescent="0.25">
      <c r="AQ2110" s="136" t="s">
        <v>54</v>
      </c>
      <c r="AR2110" s="35">
        <v>0</v>
      </c>
    </row>
    <row r="2111" spans="43:44" x14ac:dyDescent="0.25">
      <c r="AQ2111" s="138" t="s">
        <v>54</v>
      </c>
      <c r="AR2111" s="35">
        <v>0</v>
      </c>
    </row>
    <row r="2112" spans="43:44" x14ac:dyDescent="0.25">
      <c r="AQ2112" s="139" t="s">
        <v>60</v>
      </c>
      <c r="AR2112" s="35">
        <v>0</v>
      </c>
    </row>
    <row r="2113" spans="43:44" x14ac:dyDescent="0.25">
      <c r="AQ2113" s="16">
        <v>529</v>
      </c>
      <c r="AR2113" s="35">
        <v>0</v>
      </c>
    </row>
    <row r="2114" spans="43:44" x14ac:dyDescent="0.25">
      <c r="AQ2114" s="136" t="s">
        <v>54</v>
      </c>
      <c r="AR2114" s="35">
        <v>0</v>
      </c>
    </row>
    <row r="2115" spans="43:44" x14ac:dyDescent="0.25">
      <c r="AQ2115" s="138" t="s">
        <v>54</v>
      </c>
      <c r="AR2115" s="35">
        <v>0</v>
      </c>
    </row>
    <row r="2116" spans="43:44" x14ac:dyDescent="0.25">
      <c r="AQ2116" s="139" t="s">
        <v>60</v>
      </c>
      <c r="AR2116" s="35">
        <v>0</v>
      </c>
    </row>
    <row r="2117" spans="43:44" x14ac:dyDescent="0.25">
      <c r="AQ2117" s="16">
        <v>530</v>
      </c>
      <c r="AR2117" s="35">
        <v>0</v>
      </c>
    </row>
    <row r="2118" spans="43:44" x14ac:dyDescent="0.25">
      <c r="AQ2118" s="136" t="s">
        <v>54</v>
      </c>
      <c r="AR2118" s="35">
        <v>0</v>
      </c>
    </row>
    <row r="2119" spans="43:44" x14ac:dyDescent="0.25">
      <c r="AQ2119" s="138" t="s">
        <v>54</v>
      </c>
      <c r="AR2119" s="35">
        <v>0</v>
      </c>
    </row>
    <row r="2120" spans="43:44" x14ac:dyDescent="0.25">
      <c r="AQ2120" s="139" t="s">
        <v>60</v>
      </c>
      <c r="AR2120" s="35">
        <v>0</v>
      </c>
    </row>
    <row r="2121" spans="43:44" x14ac:dyDescent="0.25">
      <c r="AQ2121" s="16">
        <v>531</v>
      </c>
      <c r="AR2121" s="35">
        <v>0</v>
      </c>
    </row>
    <row r="2122" spans="43:44" x14ac:dyDescent="0.25">
      <c r="AQ2122" s="136" t="s">
        <v>54</v>
      </c>
      <c r="AR2122" s="35">
        <v>0</v>
      </c>
    </row>
    <row r="2123" spans="43:44" x14ac:dyDescent="0.25">
      <c r="AQ2123" s="138" t="s">
        <v>54</v>
      </c>
      <c r="AR2123" s="35">
        <v>0</v>
      </c>
    </row>
    <row r="2124" spans="43:44" x14ac:dyDescent="0.25">
      <c r="AQ2124" s="139" t="s">
        <v>60</v>
      </c>
      <c r="AR2124" s="35">
        <v>0</v>
      </c>
    </row>
    <row r="2125" spans="43:44" x14ac:dyDescent="0.25">
      <c r="AQ2125" s="16">
        <v>532</v>
      </c>
      <c r="AR2125" s="35">
        <v>0</v>
      </c>
    </row>
    <row r="2126" spans="43:44" x14ac:dyDescent="0.25">
      <c r="AQ2126" s="136" t="s">
        <v>54</v>
      </c>
      <c r="AR2126" s="35">
        <v>0</v>
      </c>
    </row>
    <row r="2127" spans="43:44" x14ac:dyDescent="0.25">
      <c r="AQ2127" s="138" t="s">
        <v>54</v>
      </c>
      <c r="AR2127" s="35">
        <v>0</v>
      </c>
    </row>
    <row r="2128" spans="43:44" x14ac:dyDescent="0.25">
      <c r="AQ2128" s="139" t="s">
        <v>60</v>
      </c>
      <c r="AR2128" s="35">
        <v>0</v>
      </c>
    </row>
    <row r="2129" spans="43:44" x14ac:dyDescent="0.25">
      <c r="AQ2129" s="16">
        <v>533</v>
      </c>
      <c r="AR2129" s="35">
        <v>0</v>
      </c>
    </row>
    <row r="2130" spans="43:44" x14ac:dyDescent="0.25">
      <c r="AQ2130" s="136" t="s">
        <v>54</v>
      </c>
      <c r="AR2130" s="35">
        <v>0</v>
      </c>
    </row>
    <row r="2131" spans="43:44" x14ac:dyDescent="0.25">
      <c r="AQ2131" s="138" t="s">
        <v>54</v>
      </c>
      <c r="AR2131" s="35">
        <v>0</v>
      </c>
    </row>
    <row r="2132" spans="43:44" x14ac:dyDescent="0.25">
      <c r="AQ2132" s="139" t="s">
        <v>60</v>
      </c>
      <c r="AR2132" s="35">
        <v>0</v>
      </c>
    </row>
    <row r="2133" spans="43:44" x14ac:dyDescent="0.25">
      <c r="AQ2133" s="16">
        <v>534</v>
      </c>
      <c r="AR2133" s="35">
        <v>0</v>
      </c>
    </row>
    <row r="2134" spans="43:44" x14ac:dyDescent="0.25">
      <c r="AQ2134" s="136" t="s">
        <v>54</v>
      </c>
      <c r="AR2134" s="35">
        <v>0</v>
      </c>
    </row>
    <row r="2135" spans="43:44" x14ac:dyDescent="0.25">
      <c r="AQ2135" s="138" t="s">
        <v>54</v>
      </c>
      <c r="AR2135" s="35">
        <v>0</v>
      </c>
    </row>
    <row r="2136" spans="43:44" x14ac:dyDescent="0.25">
      <c r="AQ2136" s="139" t="s">
        <v>60</v>
      </c>
      <c r="AR2136" s="35">
        <v>0</v>
      </c>
    </row>
    <row r="2137" spans="43:44" x14ac:dyDescent="0.25">
      <c r="AQ2137" s="16">
        <v>535</v>
      </c>
      <c r="AR2137" s="35">
        <v>0</v>
      </c>
    </row>
    <row r="2138" spans="43:44" x14ac:dyDescent="0.25">
      <c r="AQ2138" s="136" t="s">
        <v>54</v>
      </c>
      <c r="AR2138" s="35">
        <v>0</v>
      </c>
    </row>
    <row r="2139" spans="43:44" x14ac:dyDescent="0.25">
      <c r="AQ2139" s="138" t="s">
        <v>54</v>
      </c>
      <c r="AR2139" s="35">
        <v>0</v>
      </c>
    </row>
    <row r="2140" spans="43:44" x14ac:dyDescent="0.25">
      <c r="AQ2140" s="139" t="s">
        <v>60</v>
      </c>
      <c r="AR2140" s="35">
        <v>0</v>
      </c>
    </row>
    <row r="2141" spans="43:44" x14ac:dyDescent="0.25">
      <c r="AQ2141" s="16">
        <v>536</v>
      </c>
      <c r="AR2141" s="35">
        <v>0</v>
      </c>
    </row>
    <row r="2142" spans="43:44" x14ac:dyDescent="0.25">
      <c r="AQ2142" s="136" t="s">
        <v>54</v>
      </c>
      <c r="AR2142" s="35">
        <v>0</v>
      </c>
    </row>
    <row r="2143" spans="43:44" x14ac:dyDescent="0.25">
      <c r="AQ2143" s="138" t="s">
        <v>54</v>
      </c>
      <c r="AR2143" s="35">
        <v>0</v>
      </c>
    </row>
    <row r="2144" spans="43:44" x14ac:dyDescent="0.25">
      <c r="AQ2144" s="139" t="s">
        <v>60</v>
      </c>
      <c r="AR2144" s="35">
        <v>0</v>
      </c>
    </row>
    <row r="2145" spans="43:44" x14ac:dyDescent="0.25">
      <c r="AQ2145" s="16">
        <v>537</v>
      </c>
      <c r="AR2145" s="35">
        <v>0</v>
      </c>
    </row>
    <row r="2146" spans="43:44" x14ac:dyDescent="0.25">
      <c r="AQ2146" s="136" t="s">
        <v>54</v>
      </c>
      <c r="AR2146" s="35">
        <v>0</v>
      </c>
    </row>
    <row r="2147" spans="43:44" x14ac:dyDescent="0.25">
      <c r="AQ2147" s="138" t="s">
        <v>54</v>
      </c>
      <c r="AR2147" s="35">
        <v>0</v>
      </c>
    </row>
    <row r="2148" spans="43:44" x14ac:dyDescent="0.25">
      <c r="AQ2148" s="139" t="s">
        <v>60</v>
      </c>
      <c r="AR2148" s="35">
        <v>0</v>
      </c>
    </row>
    <row r="2149" spans="43:44" x14ac:dyDescent="0.25">
      <c r="AQ2149" s="16">
        <v>538</v>
      </c>
      <c r="AR2149" s="35">
        <v>0</v>
      </c>
    </row>
    <row r="2150" spans="43:44" x14ac:dyDescent="0.25">
      <c r="AQ2150" s="136" t="s">
        <v>54</v>
      </c>
      <c r="AR2150" s="35">
        <v>0</v>
      </c>
    </row>
    <row r="2151" spans="43:44" x14ac:dyDescent="0.25">
      <c r="AQ2151" s="138" t="s">
        <v>54</v>
      </c>
      <c r="AR2151" s="35">
        <v>0</v>
      </c>
    </row>
    <row r="2152" spans="43:44" x14ac:dyDescent="0.25">
      <c r="AQ2152" s="139" t="s">
        <v>60</v>
      </c>
      <c r="AR2152" s="35">
        <v>0</v>
      </c>
    </row>
    <row r="2153" spans="43:44" x14ac:dyDescent="0.25">
      <c r="AQ2153" s="16">
        <v>539</v>
      </c>
      <c r="AR2153" s="35">
        <v>0</v>
      </c>
    </row>
    <row r="2154" spans="43:44" x14ac:dyDescent="0.25">
      <c r="AQ2154" s="136" t="s">
        <v>54</v>
      </c>
      <c r="AR2154" s="35">
        <v>0</v>
      </c>
    </row>
    <row r="2155" spans="43:44" x14ac:dyDescent="0.25">
      <c r="AQ2155" s="138" t="s">
        <v>54</v>
      </c>
      <c r="AR2155" s="35">
        <v>0</v>
      </c>
    </row>
    <row r="2156" spans="43:44" x14ac:dyDescent="0.25">
      <c r="AQ2156" s="139" t="s">
        <v>60</v>
      </c>
      <c r="AR2156" s="35">
        <v>0</v>
      </c>
    </row>
    <row r="2157" spans="43:44" x14ac:dyDescent="0.25">
      <c r="AQ2157" s="16">
        <v>540</v>
      </c>
      <c r="AR2157" s="35">
        <v>0</v>
      </c>
    </row>
    <row r="2158" spans="43:44" x14ac:dyDescent="0.25">
      <c r="AQ2158" s="136" t="s">
        <v>54</v>
      </c>
      <c r="AR2158" s="35">
        <v>0</v>
      </c>
    </row>
    <row r="2159" spans="43:44" x14ac:dyDescent="0.25">
      <c r="AQ2159" s="138" t="s">
        <v>54</v>
      </c>
      <c r="AR2159" s="35">
        <v>0</v>
      </c>
    </row>
    <row r="2160" spans="43:44" x14ac:dyDescent="0.25">
      <c r="AQ2160" s="139" t="s">
        <v>60</v>
      </c>
      <c r="AR2160" s="35">
        <v>0</v>
      </c>
    </row>
    <row r="2161" spans="43:44" x14ac:dyDescent="0.25">
      <c r="AQ2161" s="16">
        <v>541</v>
      </c>
      <c r="AR2161" s="35">
        <v>0</v>
      </c>
    </row>
    <row r="2162" spans="43:44" x14ac:dyDescent="0.25">
      <c r="AQ2162" s="136" t="s">
        <v>54</v>
      </c>
      <c r="AR2162" s="35">
        <v>0</v>
      </c>
    </row>
    <row r="2163" spans="43:44" x14ac:dyDescent="0.25">
      <c r="AQ2163" s="138" t="s">
        <v>54</v>
      </c>
      <c r="AR2163" s="35">
        <v>0</v>
      </c>
    </row>
    <row r="2164" spans="43:44" x14ac:dyDescent="0.25">
      <c r="AQ2164" s="139" t="s">
        <v>60</v>
      </c>
      <c r="AR2164" s="35">
        <v>0</v>
      </c>
    </row>
    <row r="2165" spans="43:44" x14ac:dyDescent="0.25">
      <c r="AQ2165" s="16">
        <v>542</v>
      </c>
      <c r="AR2165" s="35">
        <v>0</v>
      </c>
    </row>
    <row r="2166" spans="43:44" x14ac:dyDescent="0.25">
      <c r="AQ2166" s="136" t="s">
        <v>54</v>
      </c>
      <c r="AR2166" s="35">
        <v>0</v>
      </c>
    </row>
    <row r="2167" spans="43:44" x14ac:dyDescent="0.25">
      <c r="AQ2167" s="138" t="s">
        <v>54</v>
      </c>
      <c r="AR2167" s="35">
        <v>0</v>
      </c>
    </row>
    <row r="2168" spans="43:44" x14ac:dyDescent="0.25">
      <c r="AQ2168" s="139" t="s">
        <v>60</v>
      </c>
      <c r="AR2168" s="35">
        <v>0</v>
      </c>
    </row>
    <row r="2169" spans="43:44" x14ac:dyDescent="0.25">
      <c r="AQ2169" s="16">
        <v>543</v>
      </c>
      <c r="AR2169" s="35">
        <v>0</v>
      </c>
    </row>
    <row r="2170" spans="43:44" x14ac:dyDescent="0.25">
      <c r="AQ2170" s="136" t="s">
        <v>54</v>
      </c>
      <c r="AR2170" s="35">
        <v>0</v>
      </c>
    </row>
    <row r="2171" spans="43:44" x14ac:dyDescent="0.25">
      <c r="AQ2171" s="138" t="s">
        <v>54</v>
      </c>
      <c r="AR2171" s="35">
        <v>0</v>
      </c>
    </row>
    <row r="2172" spans="43:44" x14ac:dyDescent="0.25">
      <c r="AQ2172" s="139" t="s">
        <v>60</v>
      </c>
      <c r="AR2172" s="35">
        <v>0</v>
      </c>
    </row>
    <row r="2173" spans="43:44" x14ac:dyDescent="0.25">
      <c r="AQ2173" s="16">
        <v>544</v>
      </c>
      <c r="AR2173" s="35">
        <v>0</v>
      </c>
    </row>
    <row r="2174" spans="43:44" x14ac:dyDescent="0.25">
      <c r="AQ2174" s="136" t="s">
        <v>54</v>
      </c>
      <c r="AR2174" s="35">
        <v>0</v>
      </c>
    </row>
    <row r="2175" spans="43:44" x14ac:dyDescent="0.25">
      <c r="AQ2175" s="138" t="s">
        <v>54</v>
      </c>
      <c r="AR2175" s="35">
        <v>0</v>
      </c>
    </row>
    <row r="2176" spans="43:44" x14ac:dyDescent="0.25">
      <c r="AQ2176" s="139" t="s">
        <v>60</v>
      </c>
      <c r="AR2176" s="35">
        <v>0</v>
      </c>
    </row>
    <row r="2177" spans="43:44" x14ac:dyDescent="0.25">
      <c r="AQ2177" s="16">
        <v>545</v>
      </c>
      <c r="AR2177" s="35">
        <v>0</v>
      </c>
    </row>
    <row r="2178" spans="43:44" x14ac:dyDescent="0.25">
      <c r="AQ2178" s="136" t="s">
        <v>54</v>
      </c>
      <c r="AR2178" s="35">
        <v>0</v>
      </c>
    </row>
    <row r="2179" spans="43:44" x14ac:dyDescent="0.25">
      <c r="AQ2179" s="138" t="s">
        <v>54</v>
      </c>
      <c r="AR2179" s="35">
        <v>0</v>
      </c>
    </row>
    <row r="2180" spans="43:44" x14ac:dyDescent="0.25">
      <c r="AQ2180" s="139" t="s">
        <v>60</v>
      </c>
      <c r="AR2180" s="35">
        <v>0</v>
      </c>
    </row>
    <row r="2181" spans="43:44" x14ac:dyDescent="0.25">
      <c r="AQ2181" s="16">
        <v>546</v>
      </c>
      <c r="AR2181" s="35">
        <v>0</v>
      </c>
    </row>
    <row r="2182" spans="43:44" x14ac:dyDescent="0.25">
      <c r="AQ2182" s="136" t="s">
        <v>54</v>
      </c>
      <c r="AR2182" s="35">
        <v>0</v>
      </c>
    </row>
    <row r="2183" spans="43:44" x14ac:dyDescent="0.25">
      <c r="AQ2183" s="138" t="s">
        <v>54</v>
      </c>
      <c r="AR2183" s="35">
        <v>0</v>
      </c>
    </row>
    <row r="2184" spans="43:44" x14ac:dyDescent="0.25">
      <c r="AQ2184" s="139" t="s">
        <v>60</v>
      </c>
      <c r="AR2184" s="35">
        <v>0</v>
      </c>
    </row>
    <row r="2185" spans="43:44" x14ac:dyDescent="0.25">
      <c r="AQ2185" s="16">
        <v>547</v>
      </c>
      <c r="AR2185" s="35">
        <v>0</v>
      </c>
    </row>
    <row r="2186" spans="43:44" x14ac:dyDescent="0.25">
      <c r="AQ2186" s="136" t="s">
        <v>54</v>
      </c>
      <c r="AR2186" s="35">
        <v>0</v>
      </c>
    </row>
    <row r="2187" spans="43:44" x14ac:dyDescent="0.25">
      <c r="AQ2187" s="138" t="s">
        <v>54</v>
      </c>
      <c r="AR2187" s="35">
        <v>0</v>
      </c>
    </row>
    <row r="2188" spans="43:44" x14ac:dyDescent="0.25">
      <c r="AQ2188" s="139" t="s">
        <v>60</v>
      </c>
      <c r="AR2188" s="35">
        <v>0</v>
      </c>
    </row>
    <row r="2189" spans="43:44" x14ac:dyDescent="0.25">
      <c r="AQ2189" s="16">
        <v>548</v>
      </c>
      <c r="AR2189" s="35">
        <v>0</v>
      </c>
    </row>
    <row r="2190" spans="43:44" x14ac:dyDescent="0.25">
      <c r="AQ2190" s="136" t="s">
        <v>54</v>
      </c>
      <c r="AR2190" s="35">
        <v>0</v>
      </c>
    </row>
    <row r="2191" spans="43:44" x14ac:dyDescent="0.25">
      <c r="AQ2191" s="138" t="s">
        <v>54</v>
      </c>
      <c r="AR2191" s="35">
        <v>0</v>
      </c>
    </row>
    <row r="2192" spans="43:44" x14ac:dyDescent="0.25">
      <c r="AQ2192" s="139" t="s">
        <v>60</v>
      </c>
      <c r="AR2192" s="35">
        <v>0</v>
      </c>
    </row>
    <row r="2193" spans="43:44" x14ac:dyDescent="0.25">
      <c r="AQ2193" s="16">
        <v>549</v>
      </c>
      <c r="AR2193" s="35">
        <v>0</v>
      </c>
    </row>
    <row r="2194" spans="43:44" x14ac:dyDescent="0.25">
      <c r="AQ2194" s="136" t="s">
        <v>54</v>
      </c>
      <c r="AR2194" s="35">
        <v>0</v>
      </c>
    </row>
    <row r="2195" spans="43:44" x14ac:dyDescent="0.25">
      <c r="AQ2195" s="138" t="s">
        <v>54</v>
      </c>
      <c r="AR2195" s="35">
        <v>0</v>
      </c>
    </row>
    <row r="2196" spans="43:44" x14ac:dyDescent="0.25">
      <c r="AQ2196" s="139" t="s">
        <v>60</v>
      </c>
      <c r="AR2196" s="35">
        <v>0</v>
      </c>
    </row>
    <row r="2197" spans="43:44" x14ac:dyDescent="0.25">
      <c r="AQ2197" s="16">
        <v>550</v>
      </c>
      <c r="AR2197" s="35">
        <v>0</v>
      </c>
    </row>
    <row r="2198" spans="43:44" x14ac:dyDescent="0.25">
      <c r="AQ2198" s="136" t="s">
        <v>54</v>
      </c>
      <c r="AR2198" s="35">
        <v>0</v>
      </c>
    </row>
    <row r="2199" spans="43:44" x14ac:dyDescent="0.25">
      <c r="AQ2199" s="138" t="s">
        <v>54</v>
      </c>
      <c r="AR2199" s="35">
        <v>0</v>
      </c>
    </row>
    <row r="2200" spans="43:44" x14ac:dyDescent="0.25">
      <c r="AQ2200" s="139" t="s">
        <v>60</v>
      </c>
      <c r="AR2200" s="35">
        <v>0</v>
      </c>
    </row>
    <row r="2201" spans="43:44" x14ac:dyDescent="0.25">
      <c r="AQ2201" s="16">
        <v>551</v>
      </c>
      <c r="AR2201" s="35">
        <v>0</v>
      </c>
    </row>
    <row r="2202" spans="43:44" x14ac:dyDescent="0.25">
      <c r="AQ2202" s="136" t="s">
        <v>54</v>
      </c>
      <c r="AR2202" s="35">
        <v>0</v>
      </c>
    </row>
    <row r="2203" spans="43:44" x14ac:dyDescent="0.25">
      <c r="AQ2203" s="138" t="s">
        <v>54</v>
      </c>
      <c r="AR2203" s="35">
        <v>0</v>
      </c>
    </row>
    <row r="2204" spans="43:44" x14ac:dyDescent="0.25">
      <c r="AQ2204" s="139" t="s">
        <v>60</v>
      </c>
      <c r="AR2204" s="35">
        <v>0</v>
      </c>
    </row>
    <row r="2205" spans="43:44" x14ac:dyDescent="0.25">
      <c r="AQ2205" s="16">
        <v>552</v>
      </c>
      <c r="AR2205" s="35">
        <v>0</v>
      </c>
    </row>
    <row r="2206" spans="43:44" x14ac:dyDescent="0.25">
      <c r="AQ2206" s="136" t="s">
        <v>54</v>
      </c>
      <c r="AR2206" s="35">
        <v>0</v>
      </c>
    </row>
    <row r="2207" spans="43:44" x14ac:dyDescent="0.25">
      <c r="AQ2207" s="138" t="s">
        <v>54</v>
      </c>
      <c r="AR2207" s="35">
        <v>0</v>
      </c>
    </row>
    <row r="2208" spans="43:44" x14ac:dyDescent="0.25">
      <c r="AQ2208" s="139" t="s">
        <v>60</v>
      </c>
      <c r="AR2208" s="35">
        <v>0</v>
      </c>
    </row>
    <row r="2209" spans="43:44" x14ac:dyDescent="0.25">
      <c r="AQ2209" s="16">
        <v>553</v>
      </c>
      <c r="AR2209" s="35">
        <v>0</v>
      </c>
    </row>
    <row r="2210" spans="43:44" x14ac:dyDescent="0.25">
      <c r="AQ2210" s="136" t="s">
        <v>54</v>
      </c>
      <c r="AR2210" s="35">
        <v>0</v>
      </c>
    </row>
    <row r="2211" spans="43:44" x14ac:dyDescent="0.25">
      <c r="AQ2211" s="138" t="s">
        <v>54</v>
      </c>
      <c r="AR2211" s="35">
        <v>0</v>
      </c>
    </row>
    <row r="2212" spans="43:44" x14ac:dyDescent="0.25">
      <c r="AQ2212" s="139" t="s">
        <v>60</v>
      </c>
      <c r="AR2212" s="35">
        <v>0</v>
      </c>
    </row>
    <row r="2213" spans="43:44" x14ac:dyDescent="0.25">
      <c r="AQ2213" s="16">
        <v>554</v>
      </c>
      <c r="AR2213" s="35">
        <v>0</v>
      </c>
    </row>
    <row r="2214" spans="43:44" x14ac:dyDescent="0.25">
      <c r="AQ2214" s="136" t="s">
        <v>54</v>
      </c>
      <c r="AR2214" s="35">
        <v>0</v>
      </c>
    </row>
    <row r="2215" spans="43:44" x14ac:dyDescent="0.25">
      <c r="AQ2215" s="138" t="s">
        <v>54</v>
      </c>
      <c r="AR2215" s="35">
        <v>0</v>
      </c>
    </row>
    <row r="2216" spans="43:44" x14ac:dyDescent="0.25">
      <c r="AQ2216" s="139" t="s">
        <v>60</v>
      </c>
      <c r="AR2216" s="35">
        <v>0</v>
      </c>
    </row>
    <row r="2217" spans="43:44" x14ac:dyDescent="0.25">
      <c r="AQ2217" s="16">
        <v>555</v>
      </c>
      <c r="AR2217" s="35">
        <v>0</v>
      </c>
    </row>
    <row r="2218" spans="43:44" x14ac:dyDescent="0.25">
      <c r="AQ2218" s="136" t="s">
        <v>54</v>
      </c>
      <c r="AR2218" s="35">
        <v>0</v>
      </c>
    </row>
    <row r="2219" spans="43:44" x14ac:dyDescent="0.25">
      <c r="AQ2219" s="138" t="s">
        <v>54</v>
      </c>
      <c r="AR2219" s="35">
        <v>0</v>
      </c>
    </row>
    <row r="2220" spans="43:44" x14ac:dyDescent="0.25">
      <c r="AQ2220" s="139" t="s">
        <v>60</v>
      </c>
      <c r="AR2220" s="35">
        <v>0</v>
      </c>
    </row>
    <row r="2221" spans="43:44" x14ac:dyDescent="0.25">
      <c r="AQ2221" s="16">
        <v>556</v>
      </c>
      <c r="AR2221" s="35">
        <v>0</v>
      </c>
    </row>
    <row r="2222" spans="43:44" x14ac:dyDescent="0.25">
      <c r="AQ2222" s="136" t="s">
        <v>54</v>
      </c>
      <c r="AR2222" s="35">
        <v>0</v>
      </c>
    </row>
    <row r="2223" spans="43:44" x14ac:dyDescent="0.25">
      <c r="AQ2223" s="138" t="s">
        <v>54</v>
      </c>
      <c r="AR2223" s="35">
        <v>0</v>
      </c>
    </row>
    <row r="2224" spans="43:44" x14ac:dyDescent="0.25">
      <c r="AQ2224" s="139" t="s">
        <v>60</v>
      </c>
      <c r="AR2224" s="35">
        <v>0</v>
      </c>
    </row>
    <row r="2225" spans="43:44" x14ac:dyDescent="0.25">
      <c r="AQ2225" s="16">
        <v>557</v>
      </c>
      <c r="AR2225" s="35">
        <v>0</v>
      </c>
    </row>
    <row r="2226" spans="43:44" x14ac:dyDescent="0.25">
      <c r="AQ2226" s="136" t="s">
        <v>54</v>
      </c>
      <c r="AR2226" s="35">
        <v>0</v>
      </c>
    </row>
    <row r="2227" spans="43:44" x14ac:dyDescent="0.25">
      <c r="AQ2227" s="138" t="s">
        <v>54</v>
      </c>
      <c r="AR2227" s="35">
        <v>0</v>
      </c>
    </row>
    <row r="2228" spans="43:44" x14ac:dyDescent="0.25">
      <c r="AQ2228" s="139" t="s">
        <v>60</v>
      </c>
      <c r="AR2228" s="35">
        <v>0</v>
      </c>
    </row>
    <row r="2229" spans="43:44" x14ac:dyDescent="0.25">
      <c r="AQ2229" s="16">
        <v>558</v>
      </c>
      <c r="AR2229" s="35">
        <v>0</v>
      </c>
    </row>
    <row r="2230" spans="43:44" x14ac:dyDescent="0.25">
      <c r="AQ2230" s="136" t="s">
        <v>54</v>
      </c>
      <c r="AR2230" s="35">
        <v>0</v>
      </c>
    </row>
    <row r="2231" spans="43:44" x14ac:dyDescent="0.25">
      <c r="AQ2231" s="138" t="s">
        <v>54</v>
      </c>
      <c r="AR2231" s="35">
        <v>0</v>
      </c>
    </row>
    <row r="2232" spans="43:44" x14ac:dyDescent="0.25">
      <c r="AQ2232" s="139" t="s">
        <v>60</v>
      </c>
      <c r="AR2232" s="35">
        <v>0</v>
      </c>
    </row>
    <row r="2233" spans="43:44" x14ac:dyDescent="0.25">
      <c r="AQ2233" s="16">
        <v>559</v>
      </c>
      <c r="AR2233" s="35">
        <v>0</v>
      </c>
    </row>
    <row r="2234" spans="43:44" x14ac:dyDescent="0.25">
      <c r="AQ2234" s="136" t="s">
        <v>54</v>
      </c>
      <c r="AR2234" s="35">
        <v>0</v>
      </c>
    </row>
    <row r="2235" spans="43:44" x14ac:dyDescent="0.25">
      <c r="AQ2235" s="138" t="s">
        <v>54</v>
      </c>
      <c r="AR2235" s="35">
        <v>0</v>
      </c>
    </row>
    <row r="2236" spans="43:44" x14ac:dyDescent="0.25">
      <c r="AQ2236" s="139" t="s">
        <v>60</v>
      </c>
      <c r="AR2236" s="35">
        <v>0</v>
      </c>
    </row>
    <row r="2237" spans="43:44" x14ac:dyDescent="0.25">
      <c r="AQ2237" s="16">
        <v>560</v>
      </c>
      <c r="AR2237" s="35">
        <v>0</v>
      </c>
    </row>
    <row r="2238" spans="43:44" x14ac:dyDescent="0.25">
      <c r="AQ2238" s="136" t="s">
        <v>54</v>
      </c>
      <c r="AR2238" s="35">
        <v>0</v>
      </c>
    </row>
    <row r="2239" spans="43:44" x14ac:dyDescent="0.25">
      <c r="AQ2239" s="138" t="s">
        <v>54</v>
      </c>
      <c r="AR2239" s="35">
        <v>0</v>
      </c>
    </row>
    <row r="2240" spans="43:44" x14ac:dyDescent="0.25">
      <c r="AQ2240" s="139" t="s">
        <v>60</v>
      </c>
      <c r="AR2240" s="35">
        <v>0</v>
      </c>
    </row>
    <row r="2241" spans="43:44" x14ac:dyDescent="0.25">
      <c r="AQ2241" s="16">
        <v>561</v>
      </c>
      <c r="AR2241" s="35">
        <v>0</v>
      </c>
    </row>
    <row r="2242" spans="43:44" x14ac:dyDescent="0.25">
      <c r="AQ2242" s="136" t="s">
        <v>54</v>
      </c>
      <c r="AR2242" s="35">
        <v>0</v>
      </c>
    </row>
    <row r="2243" spans="43:44" x14ac:dyDescent="0.25">
      <c r="AQ2243" s="138" t="s">
        <v>54</v>
      </c>
      <c r="AR2243" s="35">
        <v>0</v>
      </c>
    </row>
    <row r="2244" spans="43:44" x14ac:dyDescent="0.25">
      <c r="AQ2244" s="139" t="s">
        <v>60</v>
      </c>
      <c r="AR2244" s="35">
        <v>0</v>
      </c>
    </row>
    <row r="2245" spans="43:44" x14ac:dyDescent="0.25">
      <c r="AQ2245" s="16">
        <v>562</v>
      </c>
      <c r="AR2245" s="35">
        <v>0</v>
      </c>
    </row>
    <row r="2246" spans="43:44" x14ac:dyDescent="0.25">
      <c r="AQ2246" s="136" t="s">
        <v>54</v>
      </c>
      <c r="AR2246" s="35">
        <v>0</v>
      </c>
    </row>
    <row r="2247" spans="43:44" x14ac:dyDescent="0.25">
      <c r="AQ2247" s="138" t="s">
        <v>54</v>
      </c>
      <c r="AR2247" s="35">
        <v>0</v>
      </c>
    </row>
    <row r="2248" spans="43:44" x14ac:dyDescent="0.25">
      <c r="AQ2248" s="139" t="s">
        <v>60</v>
      </c>
      <c r="AR2248" s="35">
        <v>0</v>
      </c>
    </row>
    <row r="2249" spans="43:44" x14ac:dyDescent="0.25">
      <c r="AQ2249" s="16">
        <v>563</v>
      </c>
      <c r="AR2249" s="35">
        <v>0</v>
      </c>
    </row>
    <row r="2250" spans="43:44" x14ac:dyDescent="0.25">
      <c r="AQ2250" s="136" t="s">
        <v>54</v>
      </c>
      <c r="AR2250" s="35">
        <v>0</v>
      </c>
    </row>
    <row r="2251" spans="43:44" x14ac:dyDescent="0.25">
      <c r="AQ2251" s="138" t="s">
        <v>54</v>
      </c>
      <c r="AR2251" s="35">
        <v>0</v>
      </c>
    </row>
    <row r="2252" spans="43:44" x14ac:dyDescent="0.25">
      <c r="AQ2252" s="139" t="s">
        <v>60</v>
      </c>
      <c r="AR2252" s="35">
        <v>0</v>
      </c>
    </row>
    <row r="2253" spans="43:44" x14ac:dyDescent="0.25">
      <c r="AQ2253" s="16">
        <v>564</v>
      </c>
      <c r="AR2253" s="35">
        <v>0</v>
      </c>
    </row>
    <row r="2254" spans="43:44" x14ac:dyDescent="0.25">
      <c r="AQ2254" s="136" t="s">
        <v>54</v>
      </c>
      <c r="AR2254" s="35">
        <v>0</v>
      </c>
    </row>
    <row r="2255" spans="43:44" x14ac:dyDescent="0.25">
      <c r="AQ2255" s="138" t="s">
        <v>54</v>
      </c>
      <c r="AR2255" s="35">
        <v>0</v>
      </c>
    </row>
    <row r="2256" spans="43:44" x14ac:dyDescent="0.25">
      <c r="AQ2256" s="139" t="s">
        <v>60</v>
      </c>
      <c r="AR2256" s="35">
        <v>0</v>
      </c>
    </row>
    <row r="2257" spans="43:44" x14ac:dyDescent="0.25">
      <c r="AQ2257" s="16">
        <v>565</v>
      </c>
      <c r="AR2257" s="35">
        <v>0</v>
      </c>
    </row>
    <row r="2258" spans="43:44" x14ac:dyDescent="0.25">
      <c r="AQ2258" s="136" t="s">
        <v>54</v>
      </c>
      <c r="AR2258" s="35">
        <v>0</v>
      </c>
    </row>
    <row r="2259" spans="43:44" x14ac:dyDescent="0.25">
      <c r="AQ2259" s="138" t="s">
        <v>54</v>
      </c>
      <c r="AR2259" s="35">
        <v>0</v>
      </c>
    </row>
    <row r="2260" spans="43:44" x14ac:dyDescent="0.25">
      <c r="AQ2260" s="139" t="s">
        <v>60</v>
      </c>
      <c r="AR2260" s="35">
        <v>0</v>
      </c>
    </row>
    <row r="2261" spans="43:44" x14ac:dyDescent="0.25">
      <c r="AQ2261" s="16">
        <v>566</v>
      </c>
      <c r="AR2261" s="35">
        <v>0</v>
      </c>
    </row>
    <row r="2262" spans="43:44" x14ac:dyDescent="0.25">
      <c r="AQ2262" s="136" t="s">
        <v>54</v>
      </c>
      <c r="AR2262" s="35">
        <v>0</v>
      </c>
    </row>
    <row r="2263" spans="43:44" x14ac:dyDescent="0.25">
      <c r="AQ2263" s="138" t="s">
        <v>54</v>
      </c>
      <c r="AR2263" s="35">
        <v>0</v>
      </c>
    </row>
    <row r="2264" spans="43:44" x14ac:dyDescent="0.25">
      <c r="AQ2264" s="139" t="s">
        <v>60</v>
      </c>
      <c r="AR2264" s="35">
        <v>0</v>
      </c>
    </row>
    <row r="2265" spans="43:44" x14ac:dyDescent="0.25">
      <c r="AQ2265" s="16">
        <v>567</v>
      </c>
      <c r="AR2265" s="35">
        <v>0</v>
      </c>
    </row>
    <row r="2266" spans="43:44" x14ac:dyDescent="0.25">
      <c r="AQ2266" s="136" t="s">
        <v>54</v>
      </c>
      <c r="AR2266" s="35">
        <v>0</v>
      </c>
    </row>
    <row r="2267" spans="43:44" x14ac:dyDescent="0.25">
      <c r="AQ2267" s="138" t="s">
        <v>54</v>
      </c>
      <c r="AR2267" s="35">
        <v>0</v>
      </c>
    </row>
    <row r="2268" spans="43:44" x14ac:dyDescent="0.25">
      <c r="AQ2268" s="139" t="s">
        <v>60</v>
      </c>
      <c r="AR2268" s="35">
        <v>0</v>
      </c>
    </row>
    <row r="2269" spans="43:44" x14ac:dyDescent="0.25">
      <c r="AQ2269" s="16">
        <v>568</v>
      </c>
      <c r="AR2269" s="35">
        <v>0</v>
      </c>
    </row>
    <row r="2270" spans="43:44" x14ac:dyDescent="0.25">
      <c r="AQ2270" s="136" t="s">
        <v>54</v>
      </c>
      <c r="AR2270" s="35">
        <v>0</v>
      </c>
    </row>
    <row r="2271" spans="43:44" x14ac:dyDescent="0.25">
      <c r="AQ2271" s="138" t="s">
        <v>54</v>
      </c>
      <c r="AR2271" s="35">
        <v>0</v>
      </c>
    </row>
    <row r="2272" spans="43:44" x14ac:dyDescent="0.25">
      <c r="AQ2272" s="139" t="s">
        <v>60</v>
      </c>
      <c r="AR2272" s="35">
        <v>0</v>
      </c>
    </row>
    <row r="2273" spans="43:44" x14ac:dyDescent="0.25">
      <c r="AQ2273" s="16">
        <v>569</v>
      </c>
      <c r="AR2273" s="35">
        <v>0</v>
      </c>
    </row>
    <row r="2274" spans="43:44" x14ac:dyDescent="0.25">
      <c r="AQ2274" s="136" t="s">
        <v>54</v>
      </c>
      <c r="AR2274" s="35">
        <v>0</v>
      </c>
    </row>
    <row r="2275" spans="43:44" x14ac:dyDescent="0.25">
      <c r="AQ2275" s="138" t="s">
        <v>54</v>
      </c>
      <c r="AR2275" s="35">
        <v>0</v>
      </c>
    </row>
    <row r="2276" spans="43:44" x14ac:dyDescent="0.25">
      <c r="AQ2276" s="139" t="s">
        <v>60</v>
      </c>
      <c r="AR2276" s="35">
        <v>0</v>
      </c>
    </row>
    <row r="2277" spans="43:44" x14ac:dyDescent="0.25">
      <c r="AQ2277" s="16">
        <v>570</v>
      </c>
      <c r="AR2277" s="35">
        <v>0</v>
      </c>
    </row>
    <row r="2278" spans="43:44" x14ac:dyDescent="0.25">
      <c r="AQ2278" s="136" t="s">
        <v>54</v>
      </c>
      <c r="AR2278" s="35">
        <v>0</v>
      </c>
    </row>
    <row r="2279" spans="43:44" x14ac:dyDescent="0.25">
      <c r="AQ2279" s="138" t="s">
        <v>54</v>
      </c>
      <c r="AR2279" s="35">
        <v>0</v>
      </c>
    </row>
    <row r="2280" spans="43:44" x14ac:dyDescent="0.25">
      <c r="AQ2280" s="139" t="s">
        <v>60</v>
      </c>
      <c r="AR2280" s="35">
        <v>0</v>
      </c>
    </row>
    <row r="2281" spans="43:44" x14ac:dyDescent="0.25">
      <c r="AQ2281" s="16">
        <v>571</v>
      </c>
      <c r="AR2281" s="35">
        <v>0</v>
      </c>
    </row>
    <row r="2282" spans="43:44" x14ac:dyDescent="0.25">
      <c r="AQ2282" s="136" t="s">
        <v>54</v>
      </c>
      <c r="AR2282" s="35">
        <v>0</v>
      </c>
    </row>
    <row r="2283" spans="43:44" x14ac:dyDescent="0.25">
      <c r="AQ2283" s="138" t="s">
        <v>54</v>
      </c>
      <c r="AR2283" s="35">
        <v>0</v>
      </c>
    </row>
    <row r="2284" spans="43:44" x14ac:dyDescent="0.25">
      <c r="AQ2284" s="139" t="s">
        <v>60</v>
      </c>
      <c r="AR2284" s="35">
        <v>0</v>
      </c>
    </row>
    <row r="2285" spans="43:44" x14ac:dyDescent="0.25">
      <c r="AQ2285" s="16">
        <v>572</v>
      </c>
      <c r="AR2285" s="35">
        <v>0</v>
      </c>
    </row>
    <row r="2286" spans="43:44" x14ac:dyDescent="0.25">
      <c r="AQ2286" s="136" t="s">
        <v>54</v>
      </c>
      <c r="AR2286" s="35">
        <v>0</v>
      </c>
    </row>
    <row r="2287" spans="43:44" x14ac:dyDescent="0.25">
      <c r="AQ2287" s="138" t="s">
        <v>54</v>
      </c>
      <c r="AR2287" s="35">
        <v>0</v>
      </c>
    </row>
    <row r="2288" spans="43:44" x14ac:dyDescent="0.25">
      <c r="AQ2288" s="139" t="s">
        <v>60</v>
      </c>
      <c r="AR2288" s="35">
        <v>0</v>
      </c>
    </row>
    <row r="2289" spans="43:44" x14ac:dyDescent="0.25">
      <c r="AQ2289" s="16">
        <v>573</v>
      </c>
      <c r="AR2289" s="35">
        <v>0</v>
      </c>
    </row>
    <row r="2290" spans="43:44" x14ac:dyDescent="0.25">
      <c r="AQ2290" s="136" t="s">
        <v>54</v>
      </c>
      <c r="AR2290" s="35">
        <v>0</v>
      </c>
    </row>
    <row r="2291" spans="43:44" x14ac:dyDescent="0.25">
      <c r="AQ2291" s="138" t="s">
        <v>54</v>
      </c>
      <c r="AR2291" s="35">
        <v>0</v>
      </c>
    </row>
    <row r="2292" spans="43:44" x14ac:dyDescent="0.25">
      <c r="AQ2292" s="139" t="s">
        <v>60</v>
      </c>
      <c r="AR2292" s="35">
        <v>0</v>
      </c>
    </row>
    <row r="2293" spans="43:44" x14ac:dyDescent="0.25">
      <c r="AQ2293" s="16">
        <v>574</v>
      </c>
      <c r="AR2293" s="35">
        <v>0</v>
      </c>
    </row>
    <row r="2294" spans="43:44" x14ac:dyDescent="0.25">
      <c r="AQ2294" s="136" t="s">
        <v>54</v>
      </c>
      <c r="AR2294" s="35">
        <v>0</v>
      </c>
    </row>
    <row r="2295" spans="43:44" x14ac:dyDescent="0.25">
      <c r="AQ2295" s="138" t="s">
        <v>54</v>
      </c>
      <c r="AR2295" s="35">
        <v>0</v>
      </c>
    </row>
    <row r="2296" spans="43:44" x14ac:dyDescent="0.25">
      <c r="AQ2296" s="139" t="s">
        <v>60</v>
      </c>
      <c r="AR2296" s="35">
        <v>0</v>
      </c>
    </row>
    <row r="2297" spans="43:44" x14ac:dyDescent="0.25">
      <c r="AQ2297" s="16">
        <v>575</v>
      </c>
      <c r="AR2297" s="35">
        <v>0</v>
      </c>
    </row>
    <row r="2298" spans="43:44" x14ac:dyDescent="0.25">
      <c r="AQ2298" s="136" t="s">
        <v>54</v>
      </c>
      <c r="AR2298" s="35">
        <v>0</v>
      </c>
    </row>
    <row r="2299" spans="43:44" x14ac:dyDescent="0.25">
      <c r="AQ2299" s="138" t="s">
        <v>54</v>
      </c>
      <c r="AR2299" s="35">
        <v>0</v>
      </c>
    </row>
    <row r="2300" spans="43:44" x14ac:dyDescent="0.25">
      <c r="AQ2300" s="139" t="s">
        <v>60</v>
      </c>
      <c r="AR2300" s="35">
        <v>0</v>
      </c>
    </row>
    <row r="2301" spans="43:44" x14ac:dyDescent="0.25">
      <c r="AQ2301" s="16">
        <v>576</v>
      </c>
      <c r="AR2301" s="35">
        <v>0</v>
      </c>
    </row>
    <row r="2302" spans="43:44" x14ac:dyDescent="0.25">
      <c r="AQ2302" s="136" t="s">
        <v>54</v>
      </c>
      <c r="AR2302" s="35">
        <v>0</v>
      </c>
    </row>
    <row r="2303" spans="43:44" x14ac:dyDescent="0.25">
      <c r="AQ2303" s="138" t="s">
        <v>54</v>
      </c>
      <c r="AR2303" s="35">
        <v>0</v>
      </c>
    </row>
    <row r="2304" spans="43:44" x14ac:dyDescent="0.25">
      <c r="AQ2304" s="139" t="s">
        <v>60</v>
      </c>
      <c r="AR2304" s="35">
        <v>0</v>
      </c>
    </row>
    <row r="2305" spans="43:44" x14ac:dyDescent="0.25">
      <c r="AQ2305" s="16">
        <v>577</v>
      </c>
      <c r="AR2305" s="35">
        <v>0</v>
      </c>
    </row>
    <row r="2306" spans="43:44" x14ac:dyDescent="0.25">
      <c r="AQ2306" s="136" t="s">
        <v>54</v>
      </c>
      <c r="AR2306" s="35">
        <v>0</v>
      </c>
    </row>
    <row r="2307" spans="43:44" x14ac:dyDescent="0.25">
      <c r="AQ2307" s="138" t="s">
        <v>54</v>
      </c>
      <c r="AR2307" s="35">
        <v>0</v>
      </c>
    </row>
    <row r="2308" spans="43:44" x14ac:dyDescent="0.25">
      <c r="AQ2308" s="139" t="s">
        <v>60</v>
      </c>
      <c r="AR2308" s="35">
        <v>0</v>
      </c>
    </row>
    <row r="2309" spans="43:44" x14ac:dyDescent="0.25">
      <c r="AQ2309" s="16">
        <v>578</v>
      </c>
      <c r="AR2309" s="35">
        <v>0</v>
      </c>
    </row>
    <row r="2310" spans="43:44" x14ac:dyDescent="0.25">
      <c r="AQ2310" s="136" t="s">
        <v>54</v>
      </c>
      <c r="AR2310" s="35">
        <v>0</v>
      </c>
    </row>
    <row r="2311" spans="43:44" x14ac:dyDescent="0.25">
      <c r="AQ2311" s="138" t="s">
        <v>54</v>
      </c>
      <c r="AR2311" s="35">
        <v>0</v>
      </c>
    </row>
    <row r="2312" spans="43:44" x14ac:dyDescent="0.25">
      <c r="AQ2312" s="139" t="s">
        <v>60</v>
      </c>
      <c r="AR2312" s="35">
        <v>0</v>
      </c>
    </row>
    <row r="2313" spans="43:44" x14ac:dyDescent="0.25">
      <c r="AQ2313" s="16">
        <v>579</v>
      </c>
      <c r="AR2313" s="35">
        <v>0</v>
      </c>
    </row>
    <row r="2314" spans="43:44" x14ac:dyDescent="0.25">
      <c r="AQ2314" s="136" t="s">
        <v>54</v>
      </c>
      <c r="AR2314" s="35">
        <v>0</v>
      </c>
    </row>
    <row r="2315" spans="43:44" x14ac:dyDescent="0.25">
      <c r="AQ2315" s="138" t="s">
        <v>54</v>
      </c>
      <c r="AR2315" s="35">
        <v>0</v>
      </c>
    </row>
    <row r="2316" spans="43:44" x14ac:dyDescent="0.25">
      <c r="AQ2316" s="139" t="s">
        <v>60</v>
      </c>
      <c r="AR2316" s="35">
        <v>0</v>
      </c>
    </row>
    <row r="2317" spans="43:44" x14ac:dyDescent="0.25">
      <c r="AQ2317" s="16">
        <v>580</v>
      </c>
      <c r="AR2317" s="35">
        <v>0</v>
      </c>
    </row>
    <row r="2318" spans="43:44" x14ac:dyDescent="0.25">
      <c r="AQ2318" s="136" t="s">
        <v>54</v>
      </c>
      <c r="AR2318" s="35">
        <v>0</v>
      </c>
    </row>
    <row r="2319" spans="43:44" x14ac:dyDescent="0.25">
      <c r="AQ2319" s="138" t="s">
        <v>54</v>
      </c>
      <c r="AR2319" s="35">
        <v>0</v>
      </c>
    </row>
    <row r="2320" spans="43:44" x14ac:dyDescent="0.25">
      <c r="AQ2320" s="139" t="s">
        <v>60</v>
      </c>
      <c r="AR2320" s="35">
        <v>0</v>
      </c>
    </row>
    <row r="2321" spans="43:44" x14ac:dyDescent="0.25">
      <c r="AQ2321" s="16">
        <v>581</v>
      </c>
      <c r="AR2321" s="35">
        <v>0</v>
      </c>
    </row>
    <row r="2322" spans="43:44" x14ac:dyDescent="0.25">
      <c r="AQ2322" s="136" t="s">
        <v>54</v>
      </c>
      <c r="AR2322" s="35">
        <v>0</v>
      </c>
    </row>
    <row r="2323" spans="43:44" x14ac:dyDescent="0.25">
      <c r="AQ2323" s="138" t="s">
        <v>54</v>
      </c>
      <c r="AR2323" s="35">
        <v>0</v>
      </c>
    </row>
    <row r="2324" spans="43:44" x14ac:dyDescent="0.25">
      <c r="AQ2324" s="139" t="s">
        <v>60</v>
      </c>
      <c r="AR2324" s="35">
        <v>0</v>
      </c>
    </row>
    <row r="2325" spans="43:44" x14ac:dyDescent="0.25">
      <c r="AQ2325" s="16">
        <v>582</v>
      </c>
      <c r="AR2325" s="35">
        <v>0</v>
      </c>
    </row>
    <row r="2326" spans="43:44" x14ac:dyDescent="0.25">
      <c r="AQ2326" s="136" t="s">
        <v>54</v>
      </c>
      <c r="AR2326" s="35">
        <v>0</v>
      </c>
    </row>
    <row r="2327" spans="43:44" x14ac:dyDescent="0.25">
      <c r="AQ2327" s="138" t="s">
        <v>54</v>
      </c>
      <c r="AR2327" s="35">
        <v>0</v>
      </c>
    </row>
    <row r="2328" spans="43:44" x14ac:dyDescent="0.25">
      <c r="AQ2328" s="139" t="s">
        <v>60</v>
      </c>
      <c r="AR2328" s="35">
        <v>0</v>
      </c>
    </row>
    <row r="2329" spans="43:44" x14ac:dyDescent="0.25">
      <c r="AQ2329" s="16">
        <v>583</v>
      </c>
      <c r="AR2329" s="35">
        <v>0</v>
      </c>
    </row>
    <row r="2330" spans="43:44" x14ac:dyDescent="0.25">
      <c r="AQ2330" s="136" t="s">
        <v>54</v>
      </c>
      <c r="AR2330" s="35">
        <v>0</v>
      </c>
    </row>
    <row r="2331" spans="43:44" x14ac:dyDescent="0.25">
      <c r="AQ2331" s="138" t="s">
        <v>54</v>
      </c>
      <c r="AR2331" s="35">
        <v>0</v>
      </c>
    </row>
    <row r="2332" spans="43:44" x14ac:dyDescent="0.25">
      <c r="AQ2332" s="139" t="s">
        <v>60</v>
      </c>
      <c r="AR2332" s="35">
        <v>0</v>
      </c>
    </row>
    <row r="2333" spans="43:44" x14ac:dyDescent="0.25">
      <c r="AQ2333" s="16">
        <v>584</v>
      </c>
      <c r="AR2333" s="35">
        <v>0</v>
      </c>
    </row>
    <row r="2334" spans="43:44" x14ac:dyDescent="0.25">
      <c r="AQ2334" s="136" t="s">
        <v>54</v>
      </c>
      <c r="AR2334" s="35">
        <v>0</v>
      </c>
    </row>
    <row r="2335" spans="43:44" x14ac:dyDescent="0.25">
      <c r="AQ2335" s="138" t="s">
        <v>54</v>
      </c>
      <c r="AR2335" s="35">
        <v>0</v>
      </c>
    </row>
    <row r="2336" spans="43:44" x14ac:dyDescent="0.25">
      <c r="AQ2336" s="139" t="s">
        <v>60</v>
      </c>
      <c r="AR2336" s="35">
        <v>0</v>
      </c>
    </row>
    <row r="2337" spans="43:44" x14ac:dyDescent="0.25">
      <c r="AQ2337" s="16">
        <v>585</v>
      </c>
      <c r="AR2337" s="35">
        <v>0</v>
      </c>
    </row>
    <row r="2338" spans="43:44" x14ac:dyDescent="0.25">
      <c r="AQ2338" s="136" t="s">
        <v>54</v>
      </c>
      <c r="AR2338" s="35">
        <v>0</v>
      </c>
    </row>
    <row r="2339" spans="43:44" x14ac:dyDescent="0.25">
      <c r="AQ2339" s="138" t="s">
        <v>54</v>
      </c>
      <c r="AR2339" s="35">
        <v>0</v>
      </c>
    </row>
    <row r="2340" spans="43:44" x14ac:dyDescent="0.25">
      <c r="AQ2340" s="139" t="s">
        <v>60</v>
      </c>
      <c r="AR2340" s="35">
        <v>0</v>
      </c>
    </row>
    <row r="2341" spans="43:44" x14ac:dyDescent="0.25">
      <c r="AQ2341" s="16">
        <v>586</v>
      </c>
      <c r="AR2341" s="35">
        <v>0</v>
      </c>
    </row>
    <row r="2342" spans="43:44" x14ac:dyDescent="0.25">
      <c r="AQ2342" s="136" t="s">
        <v>54</v>
      </c>
      <c r="AR2342" s="35">
        <v>0</v>
      </c>
    </row>
    <row r="2343" spans="43:44" x14ac:dyDescent="0.25">
      <c r="AQ2343" s="138" t="s">
        <v>54</v>
      </c>
      <c r="AR2343" s="35">
        <v>0</v>
      </c>
    </row>
    <row r="2344" spans="43:44" x14ac:dyDescent="0.25">
      <c r="AQ2344" s="139" t="s">
        <v>60</v>
      </c>
      <c r="AR2344" s="35">
        <v>0</v>
      </c>
    </row>
    <row r="2345" spans="43:44" x14ac:dyDescent="0.25">
      <c r="AQ2345" s="16">
        <v>587</v>
      </c>
      <c r="AR2345" s="35">
        <v>0</v>
      </c>
    </row>
    <row r="2346" spans="43:44" x14ac:dyDescent="0.25">
      <c r="AQ2346" s="136" t="s">
        <v>54</v>
      </c>
      <c r="AR2346" s="35">
        <v>0</v>
      </c>
    </row>
    <row r="2347" spans="43:44" x14ac:dyDescent="0.25">
      <c r="AQ2347" s="138" t="s">
        <v>54</v>
      </c>
      <c r="AR2347" s="35">
        <v>0</v>
      </c>
    </row>
    <row r="2348" spans="43:44" x14ac:dyDescent="0.25">
      <c r="AQ2348" s="139" t="s">
        <v>60</v>
      </c>
      <c r="AR2348" s="35">
        <v>0</v>
      </c>
    </row>
    <row r="2349" spans="43:44" x14ac:dyDescent="0.25">
      <c r="AQ2349" s="16">
        <v>588</v>
      </c>
      <c r="AR2349" s="35">
        <v>0</v>
      </c>
    </row>
    <row r="2350" spans="43:44" x14ac:dyDescent="0.25">
      <c r="AQ2350" s="136" t="s">
        <v>54</v>
      </c>
      <c r="AR2350" s="35">
        <v>0</v>
      </c>
    </row>
    <row r="2351" spans="43:44" x14ac:dyDescent="0.25">
      <c r="AQ2351" s="138" t="s">
        <v>54</v>
      </c>
      <c r="AR2351" s="35">
        <v>0</v>
      </c>
    </row>
    <row r="2352" spans="43:44" x14ac:dyDescent="0.25">
      <c r="AQ2352" s="139" t="s">
        <v>60</v>
      </c>
      <c r="AR2352" s="35">
        <v>0</v>
      </c>
    </row>
    <row r="2353" spans="43:44" x14ac:dyDescent="0.25">
      <c r="AQ2353" s="16">
        <v>589</v>
      </c>
      <c r="AR2353" s="35">
        <v>0</v>
      </c>
    </row>
    <row r="2354" spans="43:44" x14ac:dyDescent="0.25">
      <c r="AQ2354" s="136" t="s">
        <v>54</v>
      </c>
      <c r="AR2354" s="35">
        <v>0</v>
      </c>
    </row>
    <row r="2355" spans="43:44" x14ac:dyDescent="0.25">
      <c r="AQ2355" s="138" t="s">
        <v>54</v>
      </c>
      <c r="AR2355" s="35">
        <v>0</v>
      </c>
    </row>
    <row r="2356" spans="43:44" x14ac:dyDescent="0.25">
      <c r="AQ2356" s="139" t="s">
        <v>60</v>
      </c>
      <c r="AR2356" s="35">
        <v>0</v>
      </c>
    </row>
    <row r="2357" spans="43:44" x14ac:dyDescent="0.25">
      <c r="AQ2357" s="16">
        <v>590</v>
      </c>
      <c r="AR2357" s="35">
        <v>0</v>
      </c>
    </row>
    <row r="2358" spans="43:44" x14ac:dyDescent="0.25">
      <c r="AQ2358" s="136" t="s">
        <v>54</v>
      </c>
      <c r="AR2358" s="35">
        <v>0</v>
      </c>
    </row>
    <row r="2359" spans="43:44" x14ac:dyDescent="0.25">
      <c r="AQ2359" s="138" t="s">
        <v>54</v>
      </c>
      <c r="AR2359" s="35">
        <v>0</v>
      </c>
    </row>
    <row r="2360" spans="43:44" x14ac:dyDescent="0.25">
      <c r="AQ2360" s="139" t="s">
        <v>60</v>
      </c>
      <c r="AR2360" s="35">
        <v>0</v>
      </c>
    </row>
    <row r="2361" spans="43:44" x14ac:dyDescent="0.25">
      <c r="AQ2361" s="16">
        <v>591</v>
      </c>
      <c r="AR2361" s="35">
        <v>0</v>
      </c>
    </row>
    <row r="2362" spans="43:44" x14ac:dyDescent="0.25">
      <c r="AQ2362" s="136" t="s">
        <v>54</v>
      </c>
      <c r="AR2362" s="35">
        <v>0</v>
      </c>
    </row>
    <row r="2363" spans="43:44" x14ac:dyDescent="0.25">
      <c r="AQ2363" s="138" t="s">
        <v>54</v>
      </c>
      <c r="AR2363" s="35">
        <v>0</v>
      </c>
    </row>
    <row r="2364" spans="43:44" x14ac:dyDescent="0.25">
      <c r="AQ2364" s="139" t="s">
        <v>60</v>
      </c>
      <c r="AR2364" s="35">
        <v>0</v>
      </c>
    </row>
    <row r="2365" spans="43:44" x14ac:dyDescent="0.25">
      <c r="AQ2365" s="16">
        <v>592</v>
      </c>
      <c r="AR2365" s="35">
        <v>0</v>
      </c>
    </row>
    <row r="2366" spans="43:44" x14ac:dyDescent="0.25">
      <c r="AQ2366" s="136" t="s">
        <v>54</v>
      </c>
      <c r="AR2366" s="35">
        <v>0</v>
      </c>
    </row>
    <row r="2367" spans="43:44" x14ac:dyDescent="0.25">
      <c r="AQ2367" s="138" t="s">
        <v>54</v>
      </c>
      <c r="AR2367" s="35">
        <v>0</v>
      </c>
    </row>
    <row r="2368" spans="43:44" x14ac:dyDescent="0.25">
      <c r="AQ2368" s="139" t="s">
        <v>60</v>
      </c>
      <c r="AR2368" s="35">
        <v>0</v>
      </c>
    </row>
    <row r="2369" spans="43:44" x14ac:dyDescent="0.25">
      <c r="AQ2369" s="16">
        <v>593</v>
      </c>
      <c r="AR2369" s="35">
        <v>0</v>
      </c>
    </row>
    <row r="2370" spans="43:44" x14ac:dyDescent="0.25">
      <c r="AQ2370" s="136" t="s">
        <v>54</v>
      </c>
      <c r="AR2370" s="35">
        <v>0</v>
      </c>
    </row>
    <row r="2371" spans="43:44" x14ac:dyDescent="0.25">
      <c r="AQ2371" s="138" t="s">
        <v>54</v>
      </c>
      <c r="AR2371" s="35">
        <v>0</v>
      </c>
    </row>
    <row r="2372" spans="43:44" x14ac:dyDescent="0.25">
      <c r="AQ2372" s="139" t="s">
        <v>60</v>
      </c>
      <c r="AR2372" s="35">
        <v>0</v>
      </c>
    </row>
    <row r="2373" spans="43:44" x14ac:dyDescent="0.25">
      <c r="AQ2373" s="16">
        <v>594</v>
      </c>
      <c r="AR2373" s="35">
        <v>0</v>
      </c>
    </row>
    <row r="2374" spans="43:44" x14ac:dyDescent="0.25">
      <c r="AQ2374" s="136" t="s">
        <v>54</v>
      </c>
      <c r="AR2374" s="35">
        <v>0</v>
      </c>
    </row>
    <row r="2375" spans="43:44" x14ac:dyDescent="0.25">
      <c r="AQ2375" s="138" t="s">
        <v>54</v>
      </c>
      <c r="AR2375" s="35">
        <v>0</v>
      </c>
    </row>
    <row r="2376" spans="43:44" x14ac:dyDescent="0.25">
      <c r="AQ2376" s="139" t="s">
        <v>60</v>
      </c>
      <c r="AR2376" s="35">
        <v>0</v>
      </c>
    </row>
    <row r="2377" spans="43:44" x14ac:dyDescent="0.25">
      <c r="AQ2377" s="16">
        <v>595</v>
      </c>
      <c r="AR2377" s="35">
        <v>0</v>
      </c>
    </row>
    <row r="2378" spans="43:44" x14ac:dyDescent="0.25">
      <c r="AQ2378" s="136" t="s">
        <v>54</v>
      </c>
      <c r="AR2378" s="35">
        <v>0</v>
      </c>
    </row>
    <row r="2379" spans="43:44" x14ac:dyDescent="0.25">
      <c r="AQ2379" s="138" t="s">
        <v>54</v>
      </c>
      <c r="AR2379" s="35">
        <v>0</v>
      </c>
    </row>
    <row r="2380" spans="43:44" x14ac:dyDescent="0.25">
      <c r="AQ2380" s="139" t="s">
        <v>60</v>
      </c>
      <c r="AR2380" s="35">
        <v>0</v>
      </c>
    </row>
    <row r="2381" spans="43:44" x14ac:dyDescent="0.25">
      <c r="AQ2381" s="16">
        <v>596</v>
      </c>
      <c r="AR2381" s="35">
        <v>0</v>
      </c>
    </row>
    <row r="2382" spans="43:44" x14ac:dyDescent="0.25">
      <c r="AQ2382" s="136" t="s">
        <v>54</v>
      </c>
      <c r="AR2382" s="35">
        <v>0</v>
      </c>
    </row>
    <row r="2383" spans="43:44" x14ac:dyDescent="0.25">
      <c r="AQ2383" s="138" t="s">
        <v>54</v>
      </c>
      <c r="AR2383" s="35">
        <v>0</v>
      </c>
    </row>
    <row r="2384" spans="43:44" x14ac:dyDescent="0.25">
      <c r="AQ2384" s="139" t="s">
        <v>60</v>
      </c>
      <c r="AR2384" s="35">
        <v>0</v>
      </c>
    </row>
    <row r="2385" spans="43:44" x14ac:dyDescent="0.25">
      <c r="AQ2385" s="16">
        <v>597</v>
      </c>
      <c r="AR2385" s="35">
        <v>0</v>
      </c>
    </row>
    <row r="2386" spans="43:44" x14ac:dyDescent="0.25">
      <c r="AQ2386" s="136" t="s">
        <v>54</v>
      </c>
      <c r="AR2386" s="35">
        <v>0</v>
      </c>
    </row>
    <row r="2387" spans="43:44" x14ac:dyDescent="0.25">
      <c r="AQ2387" s="138" t="s">
        <v>54</v>
      </c>
      <c r="AR2387" s="35">
        <v>0</v>
      </c>
    </row>
    <row r="2388" spans="43:44" x14ac:dyDescent="0.25">
      <c r="AQ2388" s="139" t="s">
        <v>60</v>
      </c>
      <c r="AR2388" s="35">
        <v>0</v>
      </c>
    </row>
    <row r="2389" spans="43:44" x14ac:dyDescent="0.25">
      <c r="AQ2389" s="16">
        <v>598</v>
      </c>
      <c r="AR2389" s="35">
        <v>0</v>
      </c>
    </row>
    <row r="2390" spans="43:44" x14ac:dyDescent="0.25">
      <c r="AQ2390" s="136" t="s">
        <v>54</v>
      </c>
      <c r="AR2390" s="35">
        <v>0</v>
      </c>
    </row>
    <row r="2391" spans="43:44" x14ac:dyDescent="0.25">
      <c r="AQ2391" s="138" t="s">
        <v>54</v>
      </c>
      <c r="AR2391" s="35">
        <v>0</v>
      </c>
    </row>
    <row r="2392" spans="43:44" x14ac:dyDescent="0.25">
      <c r="AQ2392" s="139" t="s">
        <v>60</v>
      </c>
      <c r="AR2392" s="35">
        <v>0</v>
      </c>
    </row>
    <row r="2393" spans="43:44" x14ac:dyDescent="0.25">
      <c r="AQ2393" s="16">
        <v>599</v>
      </c>
      <c r="AR2393" s="35">
        <v>0</v>
      </c>
    </row>
    <row r="2394" spans="43:44" x14ac:dyDescent="0.25">
      <c r="AQ2394" s="136" t="s">
        <v>54</v>
      </c>
      <c r="AR2394" s="35">
        <v>0</v>
      </c>
    </row>
    <row r="2395" spans="43:44" x14ac:dyDescent="0.25">
      <c r="AQ2395" s="138" t="s">
        <v>54</v>
      </c>
      <c r="AR2395" s="35">
        <v>0</v>
      </c>
    </row>
    <row r="2396" spans="43:44" x14ac:dyDescent="0.25">
      <c r="AQ2396" s="139" t="s">
        <v>60</v>
      </c>
      <c r="AR2396" s="35">
        <v>0</v>
      </c>
    </row>
    <row r="2397" spans="43:44" x14ac:dyDescent="0.25">
      <c r="AQ2397" s="16">
        <v>600</v>
      </c>
      <c r="AR2397" s="35">
        <v>0</v>
      </c>
    </row>
    <row r="2398" spans="43:44" x14ac:dyDescent="0.25">
      <c r="AQ2398" s="136" t="s">
        <v>54</v>
      </c>
      <c r="AR2398" s="35">
        <v>0</v>
      </c>
    </row>
    <row r="2399" spans="43:44" x14ac:dyDescent="0.25">
      <c r="AQ2399" s="138" t="s">
        <v>54</v>
      </c>
      <c r="AR2399" s="35">
        <v>0</v>
      </c>
    </row>
    <row r="2400" spans="43:44" x14ac:dyDescent="0.25">
      <c r="AQ2400" s="139" t="s">
        <v>60</v>
      </c>
      <c r="AR2400" s="35">
        <v>0</v>
      </c>
    </row>
    <row r="2401" spans="43:44" x14ac:dyDescent="0.25">
      <c r="AQ2401" s="16">
        <v>601</v>
      </c>
      <c r="AR2401" s="35">
        <v>0</v>
      </c>
    </row>
    <row r="2402" spans="43:44" x14ac:dyDescent="0.25">
      <c r="AQ2402" s="136" t="s">
        <v>54</v>
      </c>
      <c r="AR2402" s="35">
        <v>0</v>
      </c>
    </row>
    <row r="2403" spans="43:44" x14ac:dyDescent="0.25">
      <c r="AQ2403" s="138" t="s">
        <v>54</v>
      </c>
      <c r="AR2403" s="35">
        <v>0</v>
      </c>
    </row>
    <row r="2404" spans="43:44" x14ac:dyDescent="0.25">
      <c r="AQ2404" s="139" t="s">
        <v>60</v>
      </c>
      <c r="AR2404" s="35">
        <v>0</v>
      </c>
    </row>
    <row r="2405" spans="43:44" x14ac:dyDescent="0.25">
      <c r="AQ2405" s="16">
        <v>602</v>
      </c>
      <c r="AR2405" s="35">
        <v>0</v>
      </c>
    </row>
    <row r="2406" spans="43:44" x14ac:dyDescent="0.25">
      <c r="AQ2406" s="136" t="s">
        <v>54</v>
      </c>
      <c r="AR2406" s="35">
        <v>0</v>
      </c>
    </row>
    <row r="2407" spans="43:44" x14ac:dyDescent="0.25">
      <c r="AQ2407" s="138" t="s">
        <v>54</v>
      </c>
      <c r="AR2407" s="35">
        <v>0</v>
      </c>
    </row>
    <row r="2408" spans="43:44" x14ac:dyDescent="0.25">
      <c r="AQ2408" s="139" t="s">
        <v>60</v>
      </c>
      <c r="AR2408" s="35">
        <v>0</v>
      </c>
    </row>
    <row r="2409" spans="43:44" x14ac:dyDescent="0.25">
      <c r="AQ2409" s="16">
        <v>603</v>
      </c>
      <c r="AR2409" s="35">
        <v>0</v>
      </c>
    </row>
    <row r="2410" spans="43:44" x14ac:dyDescent="0.25">
      <c r="AQ2410" s="136" t="s">
        <v>54</v>
      </c>
      <c r="AR2410" s="35">
        <v>0</v>
      </c>
    </row>
    <row r="2411" spans="43:44" x14ac:dyDescent="0.25">
      <c r="AQ2411" s="138" t="s">
        <v>54</v>
      </c>
      <c r="AR2411" s="35">
        <v>0</v>
      </c>
    </row>
    <row r="2412" spans="43:44" x14ac:dyDescent="0.25">
      <c r="AQ2412" s="139" t="s">
        <v>60</v>
      </c>
      <c r="AR2412" s="35">
        <v>0</v>
      </c>
    </row>
    <row r="2413" spans="43:44" x14ac:dyDescent="0.25">
      <c r="AQ2413" s="16">
        <v>604</v>
      </c>
      <c r="AR2413" s="35">
        <v>0</v>
      </c>
    </row>
    <row r="2414" spans="43:44" x14ac:dyDescent="0.25">
      <c r="AQ2414" s="136" t="s">
        <v>54</v>
      </c>
      <c r="AR2414" s="35">
        <v>0</v>
      </c>
    </row>
    <row r="2415" spans="43:44" x14ac:dyDescent="0.25">
      <c r="AQ2415" s="138" t="s">
        <v>54</v>
      </c>
      <c r="AR2415" s="35">
        <v>0</v>
      </c>
    </row>
    <row r="2416" spans="43:44" x14ac:dyDescent="0.25">
      <c r="AQ2416" s="139" t="s">
        <v>60</v>
      </c>
      <c r="AR2416" s="35">
        <v>0</v>
      </c>
    </row>
    <row r="2417" spans="43:44" x14ac:dyDescent="0.25">
      <c r="AQ2417" s="16">
        <v>605</v>
      </c>
      <c r="AR2417" s="35">
        <v>0</v>
      </c>
    </row>
    <row r="2418" spans="43:44" x14ac:dyDescent="0.25">
      <c r="AQ2418" s="136" t="s">
        <v>54</v>
      </c>
      <c r="AR2418" s="35">
        <v>0</v>
      </c>
    </row>
    <row r="2419" spans="43:44" x14ac:dyDescent="0.25">
      <c r="AQ2419" s="138" t="s">
        <v>54</v>
      </c>
      <c r="AR2419" s="35">
        <v>0</v>
      </c>
    </row>
    <row r="2420" spans="43:44" x14ac:dyDescent="0.25">
      <c r="AQ2420" s="139" t="s">
        <v>60</v>
      </c>
      <c r="AR2420" s="35">
        <v>0</v>
      </c>
    </row>
    <row r="2421" spans="43:44" x14ac:dyDescent="0.25">
      <c r="AQ2421" s="16">
        <v>606</v>
      </c>
      <c r="AR2421" s="35">
        <v>0</v>
      </c>
    </row>
    <row r="2422" spans="43:44" x14ac:dyDescent="0.25">
      <c r="AQ2422" s="136" t="s">
        <v>54</v>
      </c>
      <c r="AR2422" s="35">
        <v>0</v>
      </c>
    </row>
    <row r="2423" spans="43:44" x14ac:dyDescent="0.25">
      <c r="AQ2423" s="138" t="s">
        <v>54</v>
      </c>
      <c r="AR2423" s="35">
        <v>0</v>
      </c>
    </row>
    <row r="2424" spans="43:44" x14ac:dyDescent="0.25">
      <c r="AQ2424" s="139" t="s">
        <v>60</v>
      </c>
      <c r="AR2424" s="35">
        <v>0</v>
      </c>
    </row>
    <row r="2425" spans="43:44" x14ac:dyDescent="0.25">
      <c r="AQ2425" s="16">
        <v>607</v>
      </c>
      <c r="AR2425" s="35">
        <v>0</v>
      </c>
    </row>
    <row r="2426" spans="43:44" x14ac:dyDescent="0.25">
      <c r="AQ2426" s="136" t="s">
        <v>54</v>
      </c>
      <c r="AR2426" s="35">
        <v>0</v>
      </c>
    </row>
    <row r="2427" spans="43:44" x14ac:dyDescent="0.25">
      <c r="AQ2427" s="138" t="s">
        <v>54</v>
      </c>
      <c r="AR2427" s="35">
        <v>0</v>
      </c>
    </row>
    <row r="2428" spans="43:44" x14ac:dyDescent="0.25">
      <c r="AQ2428" s="139" t="s">
        <v>60</v>
      </c>
      <c r="AR2428" s="35">
        <v>0</v>
      </c>
    </row>
    <row r="2429" spans="43:44" x14ac:dyDescent="0.25">
      <c r="AQ2429" s="16">
        <v>608</v>
      </c>
      <c r="AR2429" s="35">
        <v>0</v>
      </c>
    </row>
    <row r="2430" spans="43:44" x14ac:dyDescent="0.25">
      <c r="AQ2430" s="136" t="s">
        <v>54</v>
      </c>
      <c r="AR2430" s="35">
        <v>0</v>
      </c>
    </row>
    <row r="2431" spans="43:44" x14ac:dyDescent="0.25">
      <c r="AQ2431" s="138" t="s">
        <v>54</v>
      </c>
      <c r="AR2431" s="35">
        <v>0</v>
      </c>
    </row>
    <row r="2432" spans="43:44" x14ac:dyDescent="0.25">
      <c r="AQ2432" s="139" t="s">
        <v>60</v>
      </c>
      <c r="AR2432" s="35">
        <v>0</v>
      </c>
    </row>
    <row r="2433" spans="43:44" x14ac:dyDescent="0.25">
      <c r="AQ2433" s="16">
        <v>609</v>
      </c>
      <c r="AR2433" s="35">
        <v>0</v>
      </c>
    </row>
    <row r="2434" spans="43:44" x14ac:dyDescent="0.25">
      <c r="AQ2434" s="136" t="s">
        <v>54</v>
      </c>
      <c r="AR2434" s="35">
        <v>0</v>
      </c>
    </row>
    <row r="2435" spans="43:44" x14ac:dyDescent="0.25">
      <c r="AQ2435" s="138" t="s">
        <v>54</v>
      </c>
      <c r="AR2435" s="35">
        <v>0</v>
      </c>
    </row>
    <row r="2436" spans="43:44" x14ac:dyDescent="0.25">
      <c r="AQ2436" s="139" t="s">
        <v>60</v>
      </c>
      <c r="AR2436" s="35">
        <v>0</v>
      </c>
    </row>
    <row r="2437" spans="43:44" x14ac:dyDescent="0.25">
      <c r="AQ2437" s="16">
        <v>610</v>
      </c>
      <c r="AR2437" s="35">
        <v>0</v>
      </c>
    </row>
    <row r="2438" spans="43:44" x14ac:dyDescent="0.25">
      <c r="AQ2438" s="136" t="s">
        <v>54</v>
      </c>
      <c r="AR2438" s="35">
        <v>0</v>
      </c>
    </row>
    <row r="2439" spans="43:44" x14ac:dyDescent="0.25">
      <c r="AQ2439" s="138" t="s">
        <v>54</v>
      </c>
      <c r="AR2439" s="35">
        <v>0</v>
      </c>
    </row>
    <row r="2440" spans="43:44" x14ac:dyDescent="0.25">
      <c r="AQ2440" s="139" t="s">
        <v>60</v>
      </c>
      <c r="AR2440" s="35">
        <v>0</v>
      </c>
    </row>
    <row r="2441" spans="43:44" x14ac:dyDescent="0.25">
      <c r="AQ2441" s="16">
        <v>611</v>
      </c>
      <c r="AR2441" s="35">
        <v>0</v>
      </c>
    </row>
    <row r="2442" spans="43:44" x14ac:dyDescent="0.25">
      <c r="AQ2442" s="136" t="s">
        <v>54</v>
      </c>
      <c r="AR2442" s="35">
        <v>0</v>
      </c>
    </row>
    <row r="2443" spans="43:44" x14ac:dyDescent="0.25">
      <c r="AQ2443" s="138" t="s">
        <v>54</v>
      </c>
      <c r="AR2443" s="35">
        <v>0</v>
      </c>
    </row>
    <row r="2444" spans="43:44" x14ac:dyDescent="0.25">
      <c r="AQ2444" s="139" t="s">
        <v>60</v>
      </c>
      <c r="AR2444" s="35">
        <v>0</v>
      </c>
    </row>
    <row r="2445" spans="43:44" x14ac:dyDescent="0.25">
      <c r="AQ2445" s="16">
        <v>612</v>
      </c>
      <c r="AR2445" s="35">
        <v>0</v>
      </c>
    </row>
    <row r="2446" spans="43:44" x14ac:dyDescent="0.25">
      <c r="AQ2446" s="136" t="s">
        <v>54</v>
      </c>
      <c r="AR2446" s="35">
        <v>0</v>
      </c>
    </row>
    <row r="2447" spans="43:44" x14ac:dyDescent="0.25">
      <c r="AQ2447" s="138" t="s">
        <v>54</v>
      </c>
      <c r="AR2447" s="35">
        <v>0</v>
      </c>
    </row>
    <row r="2448" spans="43:44" x14ac:dyDescent="0.25">
      <c r="AQ2448" s="139" t="s">
        <v>60</v>
      </c>
      <c r="AR2448" s="35">
        <v>0</v>
      </c>
    </row>
    <row r="2449" spans="43:44" x14ac:dyDescent="0.25">
      <c r="AQ2449" s="16">
        <v>613</v>
      </c>
      <c r="AR2449" s="35">
        <v>0</v>
      </c>
    </row>
    <row r="2450" spans="43:44" x14ac:dyDescent="0.25">
      <c r="AQ2450" s="136" t="s">
        <v>54</v>
      </c>
      <c r="AR2450" s="35">
        <v>0</v>
      </c>
    </row>
    <row r="2451" spans="43:44" x14ac:dyDescent="0.25">
      <c r="AQ2451" s="138" t="s">
        <v>54</v>
      </c>
      <c r="AR2451" s="35">
        <v>0</v>
      </c>
    </row>
    <row r="2452" spans="43:44" x14ac:dyDescent="0.25">
      <c r="AQ2452" s="139" t="s">
        <v>60</v>
      </c>
      <c r="AR2452" s="35">
        <v>0</v>
      </c>
    </row>
    <row r="2453" spans="43:44" x14ac:dyDescent="0.25">
      <c r="AQ2453" s="16">
        <v>614</v>
      </c>
      <c r="AR2453" s="35">
        <v>0</v>
      </c>
    </row>
    <row r="2454" spans="43:44" x14ac:dyDescent="0.25">
      <c r="AQ2454" s="136" t="s">
        <v>54</v>
      </c>
      <c r="AR2454" s="35">
        <v>0</v>
      </c>
    </row>
    <row r="2455" spans="43:44" x14ac:dyDescent="0.25">
      <c r="AQ2455" s="138" t="s">
        <v>54</v>
      </c>
      <c r="AR2455" s="35">
        <v>0</v>
      </c>
    </row>
    <row r="2456" spans="43:44" x14ac:dyDescent="0.25">
      <c r="AQ2456" s="139" t="s">
        <v>60</v>
      </c>
      <c r="AR2456" s="35">
        <v>0</v>
      </c>
    </row>
    <row r="2457" spans="43:44" x14ac:dyDescent="0.25">
      <c r="AQ2457" s="16">
        <v>615</v>
      </c>
      <c r="AR2457" s="35">
        <v>0</v>
      </c>
    </row>
    <row r="2458" spans="43:44" x14ac:dyDescent="0.25">
      <c r="AQ2458" s="136" t="s">
        <v>54</v>
      </c>
      <c r="AR2458" s="35">
        <v>0</v>
      </c>
    </row>
    <row r="2459" spans="43:44" x14ac:dyDescent="0.25">
      <c r="AQ2459" s="138" t="s">
        <v>54</v>
      </c>
      <c r="AR2459" s="35">
        <v>0</v>
      </c>
    </row>
    <row r="2460" spans="43:44" x14ac:dyDescent="0.25">
      <c r="AQ2460" s="139" t="s">
        <v>60</v>
      </c>
      <c r="AR2460" s="35">
        <v>0</v>
      </c>
    </row>
    <row r="2461" spans="43:44" x14ac:dyDescent="0.25">
      <c r="AQ2461" s="16">
        <v>616</v>
      </c>
      <c r="AR2461" s="35">
        <v>0</v>
      </c>
    </row>
    <row r="2462" spans="43:44" x14ac:dyDescent="0.25">
      <c r="AQ2462" s="136" t="s">
        <v>54</v>
      </c>
      <c r="AR2462" s="35">
        <v>0</v>
      </c>
    </row>
    <row r="2463" spans="43:44" x14ac:dyDescent="0.25">
      <c r="AQ2463" s="138" t="s">
        <v>54</v>
      </c>
      <c r="AR2463" s="35">
        <v>0</v>
      </c>
    </row>
    <row r="2464" spans="43:44" x14ac:dyDescent="0.25">
      <c r="AQ2464" s="139" t="s">
        <v>60</v>
      </c>
      <c r="AR2464" s="35">
        <v>0</v>
      </c>
    </row>
    <row r="2465" spans="43:44" x14ac:dyDescent="0.25">
      <c r="AQ2465" s="16">
        <v>617</v>
      </c>
      <c r="AR2465" s="35">
        <v>0</v>
      </c>
    </row>
    <row r="2466" spans="43:44" x14ac:dyDescent="0.25">
      <c r="AQ2466" s="136" t="s">
        <v>54</v>
      </c>
      <c r="AR2466" s="35">
        <v>0</v>
      </c>
    </row>
    <row r="2467" spans="43:44" x14ac:dyDescent="0.25">
      <c r="AQ2467" s="138" t="s">
        <v>54</v>
      </c>
      <c r="AR2467" s="35">
        <v>0</v>
      </c>
    </row>
    <row r="2468" spans="43:44" x14ac:dyDescent="0.25">
      <c r="AQ2468" s="139" t="s">
        <v>60</v>
      </c>
      <c r="AR2468" s="35">
        <v>0</v>
      </c>
    </row>
    <row r="2469" spans="43:44" x14ac:dyDescent="0.25">
      <c r="AQ2469" s="16">
        <v>618</v>
      </c>
      <c r="AR2469" s="35">
        <v>0</v>
      </c>
    </row>
    <row r="2470" spans="43:44" x14ac:dyDescent="0.25">
      <c r="AQ2470" s="136" t="s">
        <v>54</v>
      </c>
      <c r="AR2470" s="35">
        <v>0</v>
      </c>
    </row>
    <row r="2471" spans="43:44" x14ac:dyDescent="0.25">
      <c r="AQ2471" s="138" t="s">
        <v>54</v>
      </c>
      <c r="AR2471" s="35">
        <v>0</v>
      </c>
    </row>
    <row r="2472" spans="43:44" x14ac:dyDescent="0.25">
      <c r="AQ2472" s="139" t="s">
        <v>60</v>
      </c>
      <c r="AR2472" s="35">
        <v>0</v>
      </c>
    </row>
    <row r="2473" spans="43:44" x14ac:dyDescent="0.25">
      <c r="AQ2473" s="16">
        <v>619</v>
      </c>
      <c r="AR2473" s="35">
        <v>0</v>
      </c>
    </row>
    <row r="2474" spans="43:44" x14ac:dyDescent="0.25">
      <c r="AQ2474" s="136" t="s">
        <v>54</v>
      </c>
      <c r="AR2474" s="35">
        <v>0</v>
      </c>
    </row>
    <row r="2475" spans="43:44" x14ac:dyDescent="0.25">
      <c r="AQ2475" s="138" t="s">
        <v>54</v>
      </c>
      <c r="AR2475" s="35">
        <v>0</v>
      </c>
    </row>
    <row r="2476" spans="43:44" x14ac:dyDescent="0.25">
      <c r="AQ2476" s="139" t="s">
        <v>60</v>
      </c>
      <c r="AR2476" s="35">
        <v>0</v>
      </c>
    </row>
    <row r="2477" spans="43:44" x14ac:dyDescent="0.25">
      <c r="AQ2477" s="16">
        <v>620</v>
      </c>
      <c r="AR2477" s="35">
        <v>0</v>
      </c>
    </row>
    <row r="2478" spans="43:44" x14ac:dyDescent="0.25">
      <c r="AQ2478" s="136" t="s">
        <v>54</v>
      </c>
      <c r="AR2478" s="35">
        <v>0</v>
      </c>
    </row>
    <row r="2479" spans="43:44" x14ac:dyDescent="0.25">
      <c r="AQ2479" s="138" t="s">
        <v>54</v>
      </c>
      <c r="AR2479" s="35">
        <v>0</v>
      </c>
    </row>
    <row r="2480" spans="43:44" x14ac:dyDescent="0.25">
      <c r="AQ2480" s="139" t="s">
        <v>60</v>
      </c>
      <c r="AR2480" s="35">
        <v>0</v>
      </c>
    </row>
    <row r="2481" spans="43:44" x14ac:dyDescent="0.25">
      <c r="AQ2481" s="16">
        <v>621</v>
      </c>
      <c r="AR2481" s="35">
        <v>0</v>
      </c>
    </row>
    <row r="2482" spans="43:44" x14ac:dyDescent="0.25">
      <c r="AQ2482" s="136" t="s">
        <v>54</v>
      </c>
      <c r="AR2482" s="35">
        <v>0</v>
      </c>
    </row>
    <row r="2483" spans="43:44" x14ac:dyDescent="0.25">
      <c r="AQ2483" s="138" t="s">
        <v>54</v>
      </c>
      <c r="AR2483" s="35">
        <v>0</v>
      </c>
    </row>
    <row r="2484" spans="43:44" x14ac:dyDescent="0.25">
      <c r="AQ2484" s="139" t="s">
        <v>60</v>
      </c>
      <c r="AR2484" s="35">
        <v>0</v>
      </c>
    </row>
    <row r="2485" spans="43:44" x14ac:dyDescent="0.25">
      <c r="AQ2485" s="16">
        <v>622</v>
      </c>
      <c r="AR2485" s="35">
        <v>0</v>
      </c>
    </row>
    <row r="2486" spans="43:44" x14ac:dyDescent="0.25">
      <c r="AQ2486" s="136" t="s">
        <v>54</v>
      </c>
      <c r="AR2486" s="35">
        <v>0</v>
      </c>
    </row>
    <row r="2487" spans="43:44" x14ac:dyDescent="0.25">
      <c r="AQ2487" s="138" t="s">
        <v>54</v>
      </c>
      <c r="AR2487" s="35">
        <v>0</v>
      </c>
    </row>
    <row r="2488" spans="43:44" x14ac:dyDescent="0.25">
      <c r="AQ2488" s="139" t="s">
        <v>60</v>
      </c>
      <c r="AR2488" s="35">
        <v>0</v>
      </c>
    </row>
    <row r="2489" spans="43:44" x14ac:dyDescent="0.25">
      <c r="AQ2489" s="16">
        <v>623</v>
      </c>
      <c r="AR2489" s="35">
        <v>0</v>
      </c>
    </row>
    <row r="2490" spans="43:44" x14ac:dyDescent="0.25">
      <c r="AQ2490" s="136" t="s">
        <v>54</v>
      </c>
      <c r="AR2490" s="35">
        <v>0</v>
      </c>
    </row>
    <row r="2491" spans="43:44" x14ac:dyDescent="0.25">
      <c r="AQ2491" s="138" t="s">
        <v>54</v>
      </c>
      <c r="AR2491" s="35">
        <v>0</v>
      </c>
    </row>
    <row r="2492" spans="43:44" x14ac:dyDescent="0.25">
      <c r="AQ2492" s="139" t="s">
        <v>60</v>
      </c>
      <c r="AR2492" s="35">
        <v>0</v>
      </c>
    </row>
    <row r="2493" spans="43:44" x14ac:dyDescent="0.25">
      <c r="AQ2493" s="16">
        <v>624</v>
      </c>
      <c r="AR2493" s="35">
        <v>0</v>
      </c>
    </row>
    <row r="2494" spans="43:44" x14ac:dyDescent="0.25">
      <c r="AQ2494" s="136" t="s">
        <v>54</v>
      </c>
      <c r="AR2494" s="35">
        <v>0</v>
      </c>
    </row>
    <row r="2495" spans="43:44" x14ac:dyDescent="0.25">
      <c r="AQ2495" s="138" t="s">
        <v>54</v>
      </c>
      <c r="AR2495" s="35">
        <v>0</v>
      </c>
    </row>
    <row r="2496" spans="43:44" x14ac:dyDescent="0.25">
      <c r="AQ2496" s="139" t="s">
        <v>60</v>
      </c>
      <c r="AR2496" s="35">
        <v>0</v>
      </c>
    </row>
    <row r="2497" spans="43:44" x14ac:dyDescent="0.25">
      <c r="AQ2497" s="16">
        <v>625</v>
      </c>
      <c r="AR2497" s="35">
        <v>0</v>
      </c>
    </row>
    <row r="2498" spans="43:44" x14ac:dyDescent="0.25">
      <c r="AQ2498" s="136" t="s">
        <v>54</v>
      </c>
      <c r="AR2498" s="35">
        <v>0</v>
      </c>
    </row>
    <row r="2499" spans="43:44" x14ac:dyDescent="0.25">
      <c r="AQ2499" s="138" t="s">
        <v>54</v>
      </c>
      <c r="AR2499" s="35">
        <v>0</v>
      </c>
    </row>
    <row r="2500" spans="43:44" x14ac:dyDescent="0.25">
      <c r="AQ2500" s="139" t="s">
        <v>60</v>
      </c>
      <c r="AR2500" s="35">
        <v>0</v>
      </c>
    </row>
    <row r="2501" spans="43:44" x14ac:dyDescent="0.25">
      <c r="AQ2501" s="16">
        <v>626</v>
      </c>
      <c r="AR2501" s="35">
        <v>0</v>
      </c>
    </row>
    <row r="2502" spans="43:44" x14ac:dyDescent="0.25">
      <c r="AQ2502" s="136" t="s">
        <v>54</v>
      </c>
      <c r="AR2502" s="35">
        <v>0</v>
      </c>
    </row>
    <row r="2503" spans="43:44" x14ac:dyDescent="0.25">
      <c r="AQ2503" s="138" t="s">
        <v>54</v>
      </c>
      <c r="AR2503" s="35">
        <v>0</v>
      </c>
    </row>
    <row r="2504" spans="43:44" x14ac:dyDescent="0.25">
      <c r="AQ2504" s="139" t="s">
        <v>60</v>
      </c>
      <c r="AR2504" s="35">
        <v>0</v>
      </c>
    </row>
    <row r="2505" spans="43:44" x14ac:dyDescent="0.25">
      <c r="AQ2505" s="16">
        <v>627</v>
      </c>
      <c r="AR2505" s="35">
        <v>0</v>
      </c>
    </row>
    <row r="2506" spans="43:44" x14ac:dyDescent="0.25">
      <c r="AQ2506" s="136" t="s">
        <v>54</v>
      </c>
      <c r="AR2506" s="35">
        <v>0</v>
      </c>
    </row>
    <row r="2507" spans="43:44" x14ac:dyDescent="0.25">
      <c r="AQ2507" s="138" t="s">
        <v>54</v>
      </c>
      <c r="AR2507" s="35">
        <v>0</v>
      </c>
    </row>
    <row r="2508" spans="43:44" x14ac:dyDescent="0.25">
      <c r="AQ2508" s="139" t="s">
        <v>60</v>
      </c>
      <c r="AR2508" s="35">
        <v>0</v>
      </c>
    </row>
    <row r="2509" spans="43:44" x14ac:dyDescent="0.25">
      <c r="AQ2509" s="16">
        <v>628</v>
      </c>
      <c r="AR2509" s="35">
        <v>0</v>
      </c>
    </row>
    <row r="2510" spans="43:44" x14ac:dyDescent="0.25">
      <c r="AQ2510" s="136" t="s">
        <v>54</v>
      </c>
      <c r="AR2510" s="35">
        <v>0</v>
      </c>
    </row>
    <row r="2511" spans="43:44" x14ac:dyDescent="0.25">
      <c r="AQ2511" s="138" t="s">
        <v>54</v>
      </c>
      <c r="AR2511" s="35">
        <v>0</v>
      </c>
    </row>
    <row r="2512" spans="43:44" x14ac:dyDescent="0.25">
      <c r="AQ2512" s="139" t="s">
        <v>60</v>
      </c>
      <c r="AR2512" s="35">
        <v>0</v>
      </c>
    </row>
    <row r="2513" spans="43:44" x14ac:dyDescent="0.25">
      <c r="AQ2513" s="16">
        <v>629</v>
      </c>
      <c r="AR2513" s="35">
        <v>0</v>
      </c>
    </row>
    <row r="2514" spans="43:44" x14ac:dyDescent="0.25">
      <c r="AQ2514" s="136" t="s">
        <v>54</v>
      </c>
      <c r="AR2514" s="35">
        <v>0</v>
      </c>
    </row>
    <row r="2515" spans="43:44" x14ac:dyDescent="0.25">
      <c r="AQ2515" s="138" t="s">
        <v>54</v>
      </c>
      <c r="AR2515" s="35">
        <v>0</v>
      </c>
    </row>
    <row r="2516" spans="43:44" x14ac:dyDescent="0.25">
      <c r="AQ2516" s="139" t="s">
        <v>60</v>
      </c>
      <c r="AR2516" s="35">
        <v>0</v>
      </c>
    </row>
    <row r="2517" spans="43:44" x14ac:dyDescent="0.25">
      <c r="AQ2517" s="16">
        <v>630</v>
      </c>
      <c r="AR2517" s="35">
        <v>0</v>
      </c>
    </row>
    <row r="2518" spans="43:44" x14ac:dyDescent="0.25">
      <c r="AQ2518" s="136" t="s">
        <v>54</v>
      </c>
      <c r="AR2518" s="35">
        <v>0</v>
      </c>
    </row>
    <row r="2519" spans="43:44" x14ac:dyDescent="0.25">
      <c r="AQ2519" s="138" t="s">
        <v>54</v>
      </c>
      <c r="AR2519" s="35">
        <v>0</v>
      </c>
    </row>
    <row r="2520" spans="43:44" x14ac:dyDescent="0.25">
      <c r="AQ2520" s="139" t="s">
        <v>60</v>
      </c>
      <c r="AR2520" s="35">
        <v>0</v>
      </c>
    </row>
    <row r="2521" spans="43:44" x14ac:dyDescent="0.25">
      <c r="AQ2521" s="16">
        <v>631</v>
      </c>
      <c r="AR2521" s="35">
        <v>0</v>
      </c>
    </row>
    <row r="2522" spans="43:44" x14ac:dyDescent="0.25">
      <c r="AQ2522" s="136" t="s">
        <v>54</v>
      </c>
      <c r="AR2522" s="35">
        <v>0</v>
      </c>
    </row>
    <row r="2523" spans="43:44" x14ac:dyDescent="0.25">
      <c r="AQ2523" s="138" t="s">
        <v>54</v>
      </c>
      <c r="AR2523" s="35">
        <v>0</v>
      </c>
    </row>
    <row r="2524" spans="43:44" x14ac:dyDescent="0.25">
      <c r="AQ2524" s="139" t="s">
        <v>60</v>
      </c>
      <c r="AR2524" s="35">
        <v>0</v>
      </c>
    </row>
    <row r="2525" spans="43:44" x14ac:dyDescent="0.25">
      <c r="AQ2525" s="16">
        <v>632</v>
      </c>
      <c r="AR2525" s="35">
        <v>0</v>
      </c>
    </row>
    <row r="2526" spans="43:44" x14ac:dyDescent="0.25">
      <c r="AQ2526" s="136" t="s">
        <v>54</v>
      </c>
      <c r="AR2526" s="35">
        <v>0</v>
      </c>
    </row>
    <row r="2527" spans="43:44" x14ac:dyDescent="0.25">
      <c r="AQ2527" s="138" t="s">
        <v>54</v>
      </c>
      <c r="AR2527" s="35">
        <v>0</v>
      </c>
    </row>
    <row r="2528" spans="43:44" x14ac:dyDescent="0.25">
      <c r="AQ2528" s="139" t="s">
        <v>60</v>
      </c>
      <c r="AR2528" s="35">
        <v>0</v>
      </c>
    </row>
    <row r="2529" spans="43:44" x14ac:dyDescent="0.25">
      <c r="AQ2529" s="16">
        <v>633</v>
      </c>
      <c r="AR2529" s="35">
        <v>0</v>
      </c>
    </row>
    <row r="2530" spans="43:44" x14ac:dyDescent="0.25">
      <c r="AQ2530" s="136" t="s">
        <v>54</v>
      </c>
      <c r="AR2530" s="35">
        <v>0</v>
      </c>
    </row>
    <row r="2531" spans="43:44" x14ac:dyDescent="0.25">
      <c r="AQ2531" s="138" t="s">
        <v>54</v>
      </c>
      <c r="AR2531" s="35">
        <v>0</v>
      </c>
    </row>
    <row r="2532" spans="43:44" x14ac:dyDescent="0.25">
      <c r="AQ2532" s="139" t="s">
        <v>60</v>
      </c>
      <c r="AR2532" s="35">
        <v>0</v>
      </c>
    </row>
    <row r="2533" spans="43:44" x14ac:dyDescent="0.25">
      <c r="AQ2533" s="16">
        <v>634</v>
      </c>
      <c r="AR2533" s="35">
        <v>0</v>
      </c>
    </row>
    <row r="2534" spans="43:44" x14ac:dyDescent="0.25">
      <c r="AQ2534" s="136" t="s">
        <v>54</v>
      </c>
      <c r="AR2534" s="35">
        <v>0</v>
      </c>
    </row>
    <row r="2535" spans="43:44" x14ac:dyDescent="0.25">
      <c r="AQ2535" s="138" t="s">
        <v>54</v>
      </c>
      <c r="AR2535" s="35">
        <v>0</v>
      </c>
    </row>
    <row r="2536" spans="43:44" x14ac:dyDescent="0.25">
      <c r="AQ2536" s="139" t="s">
        <v>60</v>
      </c>
      <c r="AR2536" s="35">
        <v>0</v>
      </c>
    </row>
    <row r="2537" spans="43:44" x14ac:dyDescent="0.25">
      <c r="AQ2537" s="16">
        <v>635</v>
      </c>
      <c r="AR2537" s="35">
        <v>0</v>
      </c>
    </row>
    <row r="2538" spans="43:44" x14ac:dyDescent="0.25">
      <c r="AQ2538" s="136" t="s">
        <v>54</v>
      </c>
      <c r="AR2538" s="35">
        <v>0</v>
      </c>
    </row>
    <row r="2539" spans="43:44" x14ac:dyDescent="0.25">
      <c r="AQ2539" s="138" t="s">
        <v>54</v>
      </c>
      <c r="AR2539" s="35">
        <v>0</v>
      </c>
    </row>
    <row r="2540" spans="43:44" x14ac:dyDescent="0.25">
      <c r="AQ2540" s="139" t="s">
        <v>60</v>
      </c>
      <c r="AR2540" s="35">
        <v>0</v>
      </c>
    </row>
    <row r="2541" spans="43:44" x14ac:dyDescent="0.25">
      <c r="AQ2541" s="16">
        <v>636</v>
      </c>
      <c r="AR2541" s="35">
        <v>0</v>
      </c>
    </row>
    <row r="2542" spans="43:44" x14ac:dyDescent="0.25">
      <c r="AQ2542" s="136" t="s">
        <v>54</v>
      </c>
      <c r="AR2542" s="35">
        <v>0</v>
      </c>
    </row>
    <row r="2543" spans="43:44" x14ac:dyDescent="0.25">
      <c r="AQ2543" s="138" t="s">
        <v>54</v>
      </c>
      <c r="AR2543" s="35">
        <v>0</v>
      </c>
    </row>
    <row r="2544" spans="43:44" x14ac:dyDescent="0.25">
      <c r="AQ2544" s="139" t="s">
        <v>60</v>
      </c>
      <c r="AR2544" s="35">
        <v>0</v>
      </c>
    </row>
    <row r="2545" spans="43:44" x14ac:dyDescent="0.25">
      <c r="AQ2545" s="16">
        <v>637</v>
      </c>
      <c r="AR2545" s="35">
        <v>0</v>
      </c>
    </row>
    <row r="2546" spans="43:44" x14ac:dyDescent="0.25">
      <c r="AQ2546" s="136" t="s">
        <v>54</v>
      </c>
      <c r="AR2546" s="35">
        <v>0</v>
      </c>
    </row>
    <row r="2547" spans="43:44" x14ac:dyDescent="0.25">
      <c r="AQ2547" s="138" t="s">
        <v>54</v>
      </c>
      <c r="AR2547" s="35">
        <v>0</v>
      </c>
    </row>
    <row r="2548" spans="43:44" x14ac:dyDescent="0.25">
      <c r="AQ2548" s="139" t="s">
        <v>60</v>
      </c>
      <c r="AR2548" s="35">
        <v>0</v>
      </c>
    </row>
    <row r="2549" spans="43:44" x14ac:dyDescent="0.25">
      <c r="AQ2549" s="16">
        <v>638</v>
      </c>
      <c r="AR2549" s="35">
        <v>0</v>
      </c>
    </row>
    <row r="2550" spans="43:44" x14ac:dyDescent="0.25">
      <c r="AQ2550" s="136" t="s">
        <v>54</v>
      </c>
      <c r="AR2550" s="35">
        <v>0</v>
      </c>
    </row>
    <row r="2551" spans="43:44" x14ac:dyDescent="0.25">
      <c r="AQ2551" s="138" t="s">
        <v>54</v>
      </c>
      <c r="AR2551" s="35">
        <v>0</v>
      </c>
    </row>
    <row r="2552" spans="43:44" x14ac:dyDescent="0.25">
      <c r="AQ2552" s="139" t="s">
        <v>60</v>
      </c>
      <c r="AR2552" s="35">
        <v>0</v>
      </c>
    </row>
    <row r="2553" spans="43:44" x14ac:dyDescent="0.25">
      <c r="AQ2553" s="16">
        <v>639</v>
      </c>
      <c r="AR2553" s="35">
        <v>0</v>
      </c>
    </row>
    <row r="2554" spans="43:44" x14ac:dyDescent="0.25">
      <c r="AQ2554" s="136" t="s">
        <v>54</v>
      </c>
      <c r="AR2554" s="35">
        <v>0</v>
      </c>
    </row>
    <row r="2555" spans="43:44" x14ac:dyDescent="0.25">
      <c r="AQ2555" s="138" t="s">
        <v>54</v>
      </c>
      <c r="AR2555" s="35">
        <v>0</v>
      </c>
    </row>
    <row r="2556" spans="43:44" x14ac:dyDescent="0.25">
      <c r="AQ2556" s="139" t="s">
        <v>60</v>
      </c>
      <c r="AR2556" s="35">
        <v>0</v>
      </c>
    </row>
    <row r="2557" spans="43:44" x14ac:dyDescent="0.25">
      <c r="AQ2557" s="16">
        <v>640</v>
      </c>
      <c r="AR2557" s="35">
        <v>0</v>
      </c>
    </row>
    <row r="2558" spans="43:44" x14ac:dyDescent="0.25">
      <c r="AQ2558" s="136" t="s">
        <v>54</v>
      </c>
      <c r="AR2558" s="35">
        <v>0</v>
      </c>
    </row>
    <row r="2559" spans="43:44" x14ac:dyDescent="0.25">
      <c r="AQ2559" s="138" t="s">
        <v>54</v>
      </c>
      <c r="AR2559" s="35">
        <v>0</v>
      </c>
    </row>
    <row r="2560" spans="43:44" x14ac:dyDescent="0.25">
      <c r="AQ2560" s="139" t="s">
        <v>60</v>
      </c>
      <c r="AR2560" s="35">
        <v>0</v>
      </c>
    </row>
    <row r="2561" spans="43:44" x14ac:dyDescent="0.25">
      <c r="AQ2561" s="16">
        <v>641</v>
      </c>
      <c r="AR2561" s="35">
        <v>0</v>
      </c>
    </row>
    <row r="2562" spans="43:44" x14ac:dyDescent="0.25">
      <c r="AQ2562" s="136" t="s">
        <v>54</v>
      </c>
      <c r="AR2562" s="35">
        <v>0</v>
      </c>
    </row>
    <row r="2563" spans="43:44" x14ac:dyDescent="0.25">
      <c r="AQ2563" s="138" t="s">
        <v>54</v>
      </c>
      <c r="AR2563" s="35">
        <v>0</v>
      </c>
    </row>
    <row r="2564" spans="43:44" x14ac:dyDescent="0.25">
      <c r="AQ2564" s="139" t="s">
        <v>60</v>
      </c>
      <c r="AR2564" s="35">
        <v>0</v>
      </c>
    </row>
    <row r="2565" spans="43:44" x14ac:dyDescent="0.25">
      <c r="AQ2565" s="16">
        <v>642</v>
      </c>
      <c r="AR2565" s="35">
        <v>0</v>
      </c>
    </row>
    <row r="2566" spans="43:44" x14ac:dyDescent="0.25">
      <c r="AQ2566" s="136" t="s">
        <v>54</v>
      </c>
      <c r="AR2566" s="35">
        <v>0</v>
      </c>
    </row>
    <row r="2567" spans="43:44" x14ac:dyDescent="0.25">
      <c r="AQ2567" s="138" t="s">
        <v>54</v>
      </c>
      <c r="AR2567" s="35">
        <v>0</v>
      </c>
    </row>
    <row r="2568" spans="43:44" x14ac:dyDescent="0.25">
      <c r="AQ2568" s="139" t="s">
        <v>60</v>
      </c>
      <c r="AR2568" s="35">
        <v>0</v>
      </c>
    </row>
    <row r="2569" spans="43:44" x14ac:dyDescent="0.25">
      <c r="AQ2569" s="16">
        <v>643</v>
      </c>
      <c r="AR2569" s="35">
        <v>0</v>
      </c>
    </row>
    <row r="2570" spans="43:44" x14ac:dyDescent="0.25">
      <c r="AQ2570" s="136" t="s">
        <v>54</v>
      </c>
      <c r="AR2570" s="35">
        <v>0</v>
      </c>
    </row>
    <row r="2571" spans="43:44" x14ac:dyDescent="0.25">
      <c r="AQ2571" s="138" t="s">
        <v>54</v>
      </c>
      <c r="AR2571" s="35">
        <v>0</v>
      </c>
    </row>
    <row r="2572" spans="43:44" x14ac:dyDescent="0.25">
      <c r="AQ2572" s="139" t="s">
        <v>60</v>
      </c>
      <c r="AR2572" s="35">
        <v>0</v>
      </c>
    </row>
    <row r="2573" spans="43:44" x14ac:dyDescent="0.25">
      <c r="AQ2573" s="16">
        <v>644</v>
      </c>
      <c r="AR2573" s="35">
        <v>0</v>
      </c>
    </row>
    <row r="2574" spans="43:44" x14ac:dyDescent="0.25">
      <c r="AQ2574" s="136" t="s">
        <v>54</v>
      </c>
      <c r="AR2574" s="35">
        <v>0</v>
      </c>
    </row>
    <row r="2575" spans="43:44" x14ac:dyDescent="0.25">
      <c r="AQ2575" s="138" t="s">
        <v>54</v>
      </c>
      <c r="AR2575" s="35">
        <v>0</v>
      </c>
    </row>
    <row r="2576" spans="43:44" x14ac:dyDescent="0.25">
      <c r="AQ2576" s="139" t="s">
        <v>60</v>
      </c>
      <c r="AR2576" s="35">
        <v>0</v>
      </c>
    </row>
    <row r="2577" spans="43:44" x14ac:dyDescent="0.25">
      <c r="AQ2577" s="16">
        <v>645</v>
      </c>
      <c r="AR2577" s="35">
        <v>0</v>
      </c>
    </row>
    <row r="2578" spans="43:44" x14ac:dyDescent="0.25">
      <c r="AQ2578" s="136" t="s">
        <v>54</v>
      </c>
      <c r="AR2578" s="35">
        <v>0</v>
      </c>
    </row>
    <row r="2579" spans="43:44" x14ac:dyDescent="0.25">
      <c r="AQ2579" s="138" t="s">
        <v>54</v>
      </c>
      <c r="AR2579" s="35">
        <v>0</v>
      </c>
    </row>
    <row r="2580" spans="43:44" x14ac:dyDescent="0.25">
      <c r="AQ2580" s="139" t="s">
        <v>60</v>
      </c>
      <c r="AR2580" s="35">
        <v>0</v>
      </c>
    </row>
    <row r="2581" spans="43:44" x14ac:dyDescent="0.25">
      <c r="AQ2581" s="16">
        <v>646</v>
      </c>
      <c r="AR2581" s="35">
        <v>0</v>
      </c>
    </row>
    <row r="2582" spans="43:44" x14ac:dyDescent="0.25">
      <c r="AQ2582" s="136" t="s">
        <v>54</v>
      </c>
      <c r="AR2582" s="35">
        <v>0</v>
      </c>
    </row>
    <row r="2583" spans="43:44" x14ac:dyDescent="0.25">
      <c r="AQ2583" s="138" t="s">
        <v>54</v>
      </c>
      <c r="AR2583" s="35">
        <v>0</v>
      </c>
    </row>
    <row r="2584" spans="43:44" x14ac:dyDescent="0.25">
      <c r="AQ2584" s="139" t="s">
        <v>60</v>
      </c>
      <c r="AR2584" s="35">
        <v>0</v>
      </c>
    </row>
    <row r="2585" spans="43:44" x14ac:dyDescent="0.25">
      <c r="AQ2585" s="16">
        <v>647</v>
      </c>
      <c r="AR2585" s="35">
        <v>0</v>
      </c>
    </row>
    <row r="2586" spans="43:44" x14ac:dyDescent="0.25">
      <c r="AQ2586" s="136" t="s">
        <v>54</v>
      </c>
      <c r="AR2586" s="35">
        <v>0</v>
      </c>
    </row>
    <row r="2587" spans="43:44" x14ac:dyDescent="0.25">
      <c r="AQ2587" s="138" t="s">
        <v>54</v>
      </c>
      <c r="AR2587" s="35">
        <v>0</v>
      </c>
    </row>
    <row r="2588" spans="43:44" x14ac:dyDescent="0.25">
      <c r="AQ2588" s="139" t="s">
        <v>60</v>
      </c>
      <c r="AR2588" s="35">
        <v>0</v>
      </c>
    </row>
    <row r="2589" spans="43:44" x14ac:dyDescent="0.25">
      <c r="AQ2589" s="16">
        <v>648</v>
      </c>
      <c r="AR2589" s="35">
        <v>0</v>
      </c>
    </row>
    <row r="2590" spans="43:44" x14ac:dyDescent="0.25">
      <c r="AQ2590" s="136" t="s">
        <v>54</v>
      </c>
      <c r="AR2590" s="35">
        <v>0</v>
      </c>
    </row>
    <row r="2591" spans="43:44" x14ac:dyDescent="0.25">
      <c r="AQ2591" s="138" t="s">
        <v>54</v>
      </c>
      <c r="AR2591" s="35">
        <v>0</v>
      </c>
    </row>
    <row r="2592" spans="43:44" x14ac:dyDescent="0.25">
      <c r="AQ2592" s="139" t="s">
        <v>60</v>
      </c>
      <c r="AR2592" s="35">
        <v>0</v>
      </c>
    </row>
    <row r="2593" spans="43:44" x14ac:dyDescent="0.25">
      <c r="AQ2593" s="16">
        <v>649</v>
      </c>
      <c r="AR2593" s="35">
        <v>0</v>
      </c>
    </row>
    <row r="2594" spans="43:44" x14ac:dyDescent="0.25">
      <c r="AQ2594" s="136" t="s">
        <v>54</v>
      </c>
      <c r="AR2594" s="35">
        <v>0</v>
      </c>
    </row>
    <row r="2595" spans="43:44" x14ac:dyDescent="0.25">
      <c r="AQ2595" s="138" t="s">
        <v>54</v>
      </c>
      <c r="AR2595" s="35">
        <v>0</v>
      </c>
    </row>
    <row r="2596" spans="43:44" x14ac:dyDescent="0.25">
      <c r="AQ2596" s="139" t="s">
        <v>60</v>
      </c>
      <c r="AR2596" s="35">
        <v>0</v>
      </c>
    </row>
    <row r="2597" spans="43:44" x14ac:dyDescent="0.25">
      <c r="AQ2597" s="16">
        <v>650</v>
      </c>
      <c r="AR2597" s="35">
        <v>0</v>
      </c>
    </row>
    <row r="2598" spans="43:44" x14ac:dyDescent="0.25">
      <c r="AQ2598" s="136" t="s">
        <v>54</v>
      </c>
      <c r="AR2598" s="35">
        <v>0</v>
      </c>
    </row>
    <row r="2599" spans="43:44" x14ac:dyDescent="0.25">
      <c r="AQ2599" s="138" t="s">
        <v>54</v>
      </c>
      <c r="AR2599" s="35">
        <v>0</v>
      </c>
    </row>
    <row r="2600" spans="43:44" x14ac:dyDescent="0.25">
      <c r="AQ2600" s="139" t="s">
        <v>60</v>
      </c>
      <c r="AR2600" s="35">
        <v>0</v>
      </c>
    </row>
    <row r="2601" spans="43:44" x14ac:dyDescent="0.25">
      <c r="AQ2601" s="16">
        <v>651</v>
      </c>
      <c r="AR2601" s="35">
        <v>0</v>
      </c>
    </row>
    <row r="2602" spans="43:44" x14ac:dyDescent="0.25">
      <c r="AQ2602" s="136" t="s">
        <v>54</v>
      </c>
      <c r="AR2602" s="35">
        <v>0</v>
      </c>
    </row>
    <row r="2603" spans="43:44" x14ac:dyDescent="0.25">
      <c r="AQ2603" s="138" t="s">
        <v>54</v>
      </c>
      <c r="AR2603" s="35">
        <v>0</v>
      </c>
    </row>
    <row r="2604" spans="43:44" x14ac:dyDescent="0.25">
      <c r="AQ2604" s="139" t="s">
        <v>60</v>
      </c>
      <c r="AR2604" s="35">
        <v>0</v>
      </c>
    </row>
    <row r="2605" spans="43:44" x14ac:dyDescent="0.25">
      <c r="AQ2605" s="16">
        <v>652</v>
      </c>
      <c r="AR2605" s="35">
        <v>0</v>
      </c>
    </row>
    <row r="2606" spans="43:44" x14ac:dyDescent="0.25">
      <c r="AQ2606" s="136" t="s">
        <v>54</v>
      </c>
      <c r="AR2606" s="35">
        <v>0</v>
      </c>
    </row>
    <row r="2607" spans="43:44" x14ac:dyDescent="0.25">
      <c r="AQ2607" s="138" t="s">
        <v>54</v>
      </c>
      <c r="AR2607" s="35">
        <v>0</v>
      </c>
    </row>
    <row r="2608" spans="43:44" x14ac:dyDescent="0.25">
      <c r="AQ2608" s="139" t="s">
        <v>60</v>
      </c>
      <c r="AR2608" s="35">
        <v>0</v>
      </c>
    </row>
    <row r="2609" spans="43:44" x14ac:dyDescent="0.25">
      <c r="AQ2609" s="16">
        <v>653</v>
      </c>
      <c r="AR2609" s="35">
        <v>0</v>
      </c>
    </row>
    <row r="2610" spans="43:44" x14ac:dyDescent="0.25">
      <c r="AQ2610" s="136" t="s">
        <v>54</v>
      </c>
      <c r="AR2610" s="35">
        <v>0</v>
      </c>
    </row>
    <row r="2611" spans="43:44" x14ac:dyDescent="0.25">
      <c r="AQ2611" s="138" t="s">
        <v>54</v>
      </c>
      <c r="AR2611" s="35">
        <v>0</v>
      </c>
    </row>
    <row r="2612" spans="43:44" x14ac:dyDescent="0.25">
      <c r="AQ2612" s="139" t="s">
        <v>60</v>
      </c>
      <c r="AR2612" s="35">
        <v>0</v>
      </c>
    </row>
    <row r="2613" spans="43:44" x14ac:dyDescent="0.25">
      <c r="AQ2613" s="16">
        <v>654</v>
      </c>
      <c r="AR2613" s="35">
        <v>0</v>
      </c>
    </row>
    <row r="2614" spans="43:44" x14ac:dyDescent="0.25">
      <c r="AQ2614" s="136" t="s">
        <v>54</v>
      </c>
      <c r="AR2614" s="35">
        <v>0</v>
      </c>
    </row>
    <row r="2615" spans="43:44" x14ac:dyDescent="0.25">
      <c r="AQ2615" s="138" t="s">
        <v>54</v>
      </c>
      <c r="AR2615" s="35">
        <v>0</v>
      </c>
    </row>
    <row r="2616" spans="43:44" x14ac:dyDescent="0.25">
      <c r="AQ2616" s="139" t="s">
        <v>60</v>
      </c>
      <c r="AR2616" s="35">
        <v>0</v>
      </c>
    </row>
    <row r="2617" spans="43:44" x14ac:dyDescent="0.25">
      <c r="AQ2617" s="16">
        <v>655</v>
      </c>
      <c r="AR2617" s="35">
        <v>0</v>
      </c>
    </row>
    <row r="2618" spans="43:44" x14ac:dyDescent="0.25">
      <c r="AQ2618" s="136" t="s">
        <v>54</v>
      </c>
      <c r="AR2618" s="35">
        <v>0</v>
      </c>
    </row>
    <row r="2619" spans="43:44" x14ac:dyDescent="0.25">
      <c r="AQ2619" s="138" t="s">
        <v>54</v>
      </c>
      <c r="AR2619" s="35">
        <v>0</v>
      </c>
    </row>
    <row r="2620" spans="43:44" x14ac:dyDescent="0.25">
      <c r="AQ2620" s="139" t="s">
        <v>60</v>
      </c>
      <c r="AR2620" s="35">
        <v>0</v>
      </c>
    </row>
    <row r="2621" spans="43:44" x14ac:dyDescent="0.25">
      <c r="AQ2621" s="16">
        <v>656</v>
      </c>
      <c r="AR2621" s="35">
        <v>0</v>
      </c>
    </row>
    <row r="2622" spans="43:44" x14ac:dyDescent="0.25">
      <c r="AQ2622" s="136" t="s">
        <v>54</v>
      </c>
      <c r="AR2622" s="35">
        <v>0</v>
      </c>
    </row>
    <row r="2623" spans="43:44" x14ac:dyDescent="0.25">
      <c r="AQ2623" s="138" t="s">
        <v>54</v>
      </c>
      <c r="AR2623" s="35">
        <v>0</v>
      </c>
    </row>
    <row r="2624" spans="43:44" x14ac:dyDescent="0.25">
      <c r="AQ2624" s="139" t="s">
        <v>60</v>
      </c>
      <c r="AR2624" s="35">
        <v>0</v>
      </c>
    </row>
    <row r="2625" spans="43:44" x14ac:dyDescent="0.25">
      <c r="AQ2625" s="16">
        <v>657</v>
      </c>
      <c r="AR2625" s="35">
        <v>0</v>
      </c>
    </row>
    <row r="2626" spans="43:44" x14ac:dyDescent="0.25">
      <c r="AQ2626" s="136" t="s">
        <v>54</v>
      </c>
      <c r="AR2626" s="35">
        <v>0</v>
      </c>
    </row>
    <row r="2627" spans="43:44" x14ac:dyDescent="0.25">
      <c r="AQ2627" s="138" t="s">
        <v>54</v>
      </c>
      <c r="AR2627" s="35">
        <v>0</v>
      </c>
    </row>
    <row r="2628" spans="43:44" x14ac:dyDescent="0.25">
      <c r="AQ2628" s="139" t="s">
        <v>60</v>
      </c>
      <c r="AR2628" s="35">
        <v>0</v>
      </c>
    </row>
    <row r="2629" spans="43:44" x14ac:dyDescent="0.25">
      <c r="AQ2629" s="16">
        <v>658</v>
      </c>
      <c r="AR2629" s="35">
        <v>0</v>
      </c>
    </row>
    <row r="2630" spans="43:44" x14ac:dyDescent="0.25">
      <c r="AQ2630" s="136" t="s">
        <v>54</v>
      </c>
      <c r="AR2630" s="35">
        <v>0</v>
      </c>
    </row>
    <row r="2631" spans="43:44" x14ac:dyDescent="0.25">
      <c r="AQ2631" s="138" t="s">
        <v>54</v>
      </c>
      <c r="AR2631" s="35">
        <v>0</v>
      </c>
    </row>
    <row r="2632" spans="43:44" x14ac:dyDescent="0.25">
      <c r="AQ2632" s="139" t="s">
        <v>60</v>
      </c>
      <c r="AR2632" s="35">
        <v>0</v>
      </c>
    </row>
    <row r="2633" spans="43:44" x14ac:dyDescent="0.25">
      <c r="AQ2633" s="16">
        <v>659</v>
      </c>
      <c r="AR2633" s="35">
        <v>0</v>
      </c>
    </row>
    <row r="2634" spans="43:44" x14ac:dyDescent="0.25">
      <c r="AQ2634" s="136" t="s">
        <v>54</v>
      </c>
      <c r="AR2634" s="35">
        <v>0</v>
      </c>
    </row>
    <row r="2635" spans="43:44" x14ac:dyDescent="0.25">
      <c r="AQ2635" s="138" t="s">
        <v>54</v>
      </c>
      <c r="AR2635" s="35">
        <v>0</v>
      </c>
    </row>
    <row r="2636" spans="43:44" x14ac:dyDescent="0.25">
      <c r="AQ2636" s="139" t="s">
        <v>60</v>
      </c>
      <c r="AR2636" s="35">
        <v>0</v>
      </c>
    </row>
    <row r="2637" spans="43:44" x14ac:dyDescent="0.25">
      <c r="AQ2637" s="16">
        <v>660</v>
      </c>
      <c r="AR2637" s="35">
        <v>0</v>
      </c>
    </row>
    <row r="2638" spans="43:44" x14ac:dyDescent="0.25">
      <c r="AQ2638" s="136" t="s">
        <v>54</v>
      </c>
      <c r="AR2638" s="35">
        <v>0</v>
      </c>
    </row>
    <row r="2639" spans="43:44" x14ac:dyDescent="0.25">
      <c r="AQ2639" s="138" t="s">
        <v>54</v>
      </c>
      <c r="AR2639" s="35">
        <v>0</v>
      </c>
    </row>
    <row r="2640" spans="43:44" x14ac:dyDescent="0.25">
      <c r="AQ2640" s="139" t="s">
        <v>60</v>
      </c>
      <c r="AR2640" s="35">
        <v>0</v>
      </c>
    </row>
    <row r="2641" spans="43:44" x14ac:dyDescent="0.25">
      <c r="AQ2641" s="16">
        <v>661</v>
      </c>
      <c r="AR2641" s="35">
        <v>0</v>
      </c>
    </row>
    <row r="2642" spans="43:44" x14ac:dyDescent="0.25">
      <c r="AQ2642" s="136" t="s">
        <v>54</v>
      </c>
      <c r="AR2642" s="35">
        <v>0</v>
      </c>
    </row>
    <row r="2643" spans="43:44" x14ac:dyDescent="0.25">
      <c r="AQ2643" s="138" t="s">
        <v>54</v>
      </c>
      <c r="AR2643" s="35">
        <v>0</v>
      </c>
    </row>
    <row r="2644" spans="43:44" x14ac:dyDescent="0.25">
      <c r="AQ2644" s="139" t="s">
        <v>60</v>
      </c>
      <c r="AR2644" s="35">
        <v>0</v>
      </c>
    </row>
    <row r="2645" spans="43:44" x14ac:dyDescent="0.25">
      <c r="AQ2645" s="16">
        <v>662</v>
      </c>
      <c r="AR2645" s="35">
        <v>0</v>
      </c>
    </row>
    <row r="2646" spans="43:44" x14ac:dyDescent="0.25">
      <c r="AQ2646" s="136" t="s">
        <v>54</v>
      </c>
      <c r="AR2646" s="35">
        <v>0</v>
      </c>
    </row>
    <row r="2647" spans="43:44" x14ac:dyDescent="0.25">
      <c r="AQ2647" s="138" t="s">
        <v>54</v>
      </c>
      <c r="AR2647" s="35">
        <v>0</v>
      </c>
    </row>
    <row r="2648" spans="43:44" x14ac:dyDescent="0.25">
      <c r="AQ2648" s="139" t="s">
        <v>60</v>
      </c>
      <c r="AR2648" s="35">
        <v>0</v>
      </c>
    </row>
    <row r="2649" spans="43:44" x14ac:dyDescent="0.25">
      <c r="AQ2649" s="16">
        <v>663</v>
      </c>
      <c r="AR2649" s="35">
        <v>0</v>
      </c>
    </row>
    <row r="2650" spans="43:44" x14ac:dyDescent="0.25">
      <c r="AQ2650" s="136" t="s">
        <v>54</v>
      </c>
      <c r="AR2650" s="35">
        <v>0</v>
      </c>
    </row>
    <row r="2651" spans="43:44" x14ac:dyDescent="0.25">
      <c r="AQ2651" s="138" t="s">
        <v>54</v>
      </c>
      <c r="AR2651" s="35">
        <v>0</v>
      </c>
    </row>
    <row r="2652" spans="43:44" x14ac:dyDescent="0.25">
      <c r="AQ2652" s="139" t="s">
        <v>60</v>
      </c>
      <c r="AR2652" s="35">
        <v>0</v>
      </c>
    </row>
    <row r="2653" spans="43:44" x14ac:dyDescent="0.25">
      <c r="AQ2653" s="16">
        <v>664</v>
      </c>
      <c r="AR2653" s="35">
        <v>0</v>
      </c>
    </row>
    <row r="2654" spans="43:44" x14ac:dyDescent="0.25">
      <c r="AQ2654" s="136" t="s">
        <v>54</v>
      </c>
      <c r="AR2654" s="35">
        <v>0</v>
      </c>
    </row>
    <row r="2655" spans="43:44" x14ac:dyDescent="0.25">
      <c r="AQ2655" s="138" t="s">
        <v>54</v>
      </c>
      <c r="AR2655" s="35">
        <v>0</v>
      </c>
    </row>
    <row r="2656" spans="43:44" x14ac:dyDescent="0.25">
      <c r="AQ2656" s="139" t="s">
        <v>60</v>
      </c>
      <c r="AR2656" s="35">
        <v>0</v>
      </c>
    </row>
    <row r="2657" spans="43:44" x14ac:dyDescent="0.25">
      <c r="AQ2657" s="16">
        <v>665</v>
      </c>
      <c r="AR2657" s="35">
        <v>0</v>
      </c>
    </row>
    <row r="2658" spans="43:44" x14ac:dyDescent="0.25">
      <c r="AQ2658" s="136" t="s">
        <v>54</v>
      </c>
      <c r="AR2658" s="35">
        <v>0</v>
      </c>
    </row>
    <row r="2659" spans="43:44" x14ac:dyDescent="0.25">
      <c r="AQ2659" s="138" t="s">
        <v>54</v>
      </c>
      <c r="AR2659" s="35">
        <v>0</v>
      </c>
    </row>
    <row r="2660" spans="43:44" x14ac:dyDescent="0.25">
      <c r="AQ2660" s="139" t="s">
        <v>60</v>
      </c>
      <c r="AR2660" s="35">
        <v>0</v>
      </c>
    </row>
    <row r="2661" spans="43:44" x14ac:dyDescent="0.25">
      <c r="AQ2661" s="16">
        <v>666</v>
      </c>
      <c r="AR2661" s="35">
        <v>0</v>
      </c>
    </row>
    <row r="2662" spans="43:44" x14ac:dyDescent="0.25">
      <c r="AQ2662" s="136" t="s">
        <v>54</v>
      </c>
      <c r="AR2662" s="35">
        <v>0</v>
      </c>
    </row>
    <row r="2663" spans="43:44" x14ac:dyDescent="0.25">
      <c r="AQ2663" s="138" t="s">
        <v>54</v>
      </c>
      <c r="AR2663" s="35">
        <v>0</v>
      </c>
    </row>
    <row r="2664" spans="43:44" x14ac:dyDescent="0.25">
      <c r="AQ2664" s="139" t="s">
        <v>60</v>
      </c>
      <c r="AR2664" s="35">
        <v>0</v>
      </c>
    </row>
    <row r="2665" spans="43:44" x14ac:dyDescent="0.25">
      <c r="AQ2665" s="16">
        <v>667</v>
      </c>
      <c r="AR2665" s="35">
        <v>0</v>
      </c>
    </row>
    <row r="2666" spans="43:44" x14ac:dyDescent="0.25">
      <c r="AQ2666" s="136" t="s">
        <v>54</v>
      </c>
      <c r="AR2666" s="35">
        <v>0</v>
      </c>
    </row>
    <row r="2667" spans="43:44" x14ac:dyDescent="0.25">
      <c r="AQ2667" s="138" t="s">
        <v>54</v>
      </c>
      <c r="AR2667" s="35">
        <v>0</v>
      </c>
    </row>
    <row r="2668" spans="43:44" x14ac:dyDescent="0.25">
      <c r="AQ2668" s="139" t="s">
        <v>60</v>
      </c>
      <c r="AR2668" s="35">
        <v>0</v>
      </c>
    </row>
    <row r="2669" spans="43:44" x14ac:dyDescent="0.25">
      <c r="AQ2669" s="16">
        <v>668</v>
      </c>
      <c r="AR2669" s="35">
        <v>0</v>
      </c>
    </row>
    <row r="2670" spans="43:44" x14ac:dyDescent="0.25">
      <c r="AQ2670" s="136" t="s">
        <v>54</v>
      </c>
      <c r="AR2670" s="35">
        <v>0</v>
      </c>
    </row>
    <row r="2671" spans="43:44" x14ac:dyDescent="0.25">
      <c r="AQ2671" s="138" t="s">
        <v>54</v>
      </c>
      <c r="AR2671" s="35">
        <v>0</v>
      </c>
    </row>
    <row r="2672" spans="43:44" x14ac:dyDescent="0.25">
      <c r="AQ2672" s="139" t="s">
        <v>60</v>
      </c>
      <c r="AR2672" s="35">
        <v>0</v>
      </c>
    </row>
    <row r="2673" spans="43:44" x14ac:dyDescent="0.25">
      <c r="AQ2673" s="16">
        <v>669</v>
      </c>
      <c r="AR2673" s="35">
        <v>0</v>
      </c>
    </row>
    <row r="2674" spans="43:44" x14ac:dyDescent="0.25">
      <c r="AQ2674" s="136" t="s">
        <v>54</v>
      </c>
      <c r="AR2674" s="35">
        <v>0</v>
      </c>
    </row>
    <row r="2675" spans="43:44" x14ac:dyDescent="0.25">
      <c r="AQ2675" s="138" t="s">
        <v>54</v>
      </c>
      <c r="AR2675" s="35">
        <v>0</v>
      </c>
    </row>
    <row r="2676" spans="43:44" x14ac:dyDescent="0.25">
      <c r="AQ2676" s="139" t="s">
        <v>60</v>
      </c>
      <c r="AR2676" s="35">
        <v>0</v>
      </c>
    </row>
    <row r="2677" spans="43:44" x14ac:dyDescent="0.25">
      <c r="AQ2677" s="16">
        <v>670</v>
      </c>
      <c r="AR2677" s="35">
        <v>0</v>
      </c>
    </row>
    <row r="2678" spans="43:44" x14ac:dyDescent="0.25">
      <c r="AQ2678" s="136" t="s">
        <v>54</v>
      </c>
      <c r="AR2678" s="35">
        <v>0</v>
      </c>
    </row>
    <row r="2679" spans="43:44" x14ac:dyDescent="0.25">
      <c r="AQ2679" s="138" t="s">
        <v>54</v>
      </c>
      <c r="AR2679" s="35">
        <v>0</v>
      </c>
    </row>
    <row r="2680" spans="43:44" x14ac:dyDescent="0.25">
      <c r="AQ2680" s="139" t="s">
        <v>60</v>
      </c>
      <c r="AR2680" s="35">
        <v>0</v>
      </c>
    </row>
    <row r="2681" spans="43:44" x14ac:dyDescent="0.25">
      <c r="AQ2681" s="16">
        <v>671</v>
      </c>
      <c r="AR2681" s="35">
        <v>0</v>
      </c>
    </row>
    <row r="2682" spans="43:44" x14ac:dyDescent="0.25">
      <c r="AQ2682" s="136" t="s">
        <v>54</v>
      </c>
      <c r="AR2682" s="35">
        <v>0</v>
      </c>
    </row>
    <row r="2683" spans="43:44" x14ac:dyDescent="0.25">
      <c r="AQ2683" s="138" t="s">
        <v>54</v>
      </c>
      <c r="AR2683" s="35">
        <v>0</v>
      </c>
    </row>
    <row r="2684" spans="43:44" x14ac:dyDescent="0.25">
      <c r="AQ2684" s="139" t="s">
        <v>60</v>
      </c>
      <c r="AR2684" s="35">
        <v>0</v>
      </c>
    </row>
    <row r="2685" spans="43:44" x14ac:dyDescent="0.25">
      <c r="AQ2685" s="16">
        <v>672</v>
      </c>
      <c r="AR2685" s="35">
        <v>0</v>
      </c>
    </row>
    <row r="2686" spans="43:44" x14ac:dyDescent="0.25">
      <c r="AQ2686" s="136" t="s">
        <v>54</v>
      </c>
      <c r="AR2686" s="35">
        <v>0</v>
      </c>
    </row>
    <row r="2687" spans="43:44" x14ac:dyDescent="0.25">
      <c r="AQ2687" s="138" t="s">
        <v>54</v>
      </c>
      <c r="AR2687" s="35">
        <v>0</v>
      </c>
    </row>
    <row r="2688" spans="43:44" x14ac:dyDescent="0.25">
      <c r="AQ2688" s="139" t="s">
        <v>60</v>
      </c>
      <c r="AR2688" s="35">
        <v>0</v>
      </c>
    </row>
    <row r="2689" spans="43:44" x14ac:dyDescent="0.25">
      <c r="AQ2689" s="16">
        <v>673</v>
      </c>
      <c r="AR2689" s="35">
        <v>0</v>
      </c>
    </row>
    <row r="2690" spans="43:44" x14ac:dyDescent="0.25">
      <c r="AQ2690" s="136" t="s">
        <v>54</v>
      </c>
      <c r="AR2690" s="35">
        <v>0</v>
      </c>
    </row>
    <row r="2691" spans="43:44" x14ac:dyDescent="0.25">
      <c r="AQ2691" s="138" t="s">
        <v>54</v>
      </c>
      <c r="AR2691" s="35">
        <v>0</v>
      </c>
    </row>
    <row r="2692" spans="43:44" x14ac:dyDescent="0.25">
      <c r="AQ2692" s="139" t="s">
        <v>60</v>
      </c>
      <c r="AR2692" s="35">
        <v>0</v>
      </c>
    </row>
    <row r="2693" spans="43:44" x14ac:dyDescent="0.25">
      <c r="AQ2693" s="16">
        <v>674</v>
      </c>
      <c r="AR2693" s="35">
        <v>0</v>
      </c>
    </row>
    <row r="2694" spans="43:44" x14ac:dyDescent="0.25">
      <c r="AQ2694" s="136" t="s">
        <v>54</v>
      </c>
      <c r="AR2694" s="35">
        <v>0</v>
      </c>
    </row>
    <row r="2695" spans="43:44" x14ac:dyDescent="0.25">
      <c r="AQ2695" s="138" t="s">
        <v>54</v>
      </c>
      <c r="AR2695" s="35">
        <v>0</v>
      </c>
    </row>
    <row r="2696" spans="43:44" x14ac:dyDescent="0.25">
      <c r="AQ2696" s="139" t="s">
        <v>60</v>
      </c>
      <c r="AR2696" s="35">
        <v>0</v>
      </c>
    </row>
    <row r="2697" spans="43:44" x14ac:dyDescent="0.25">
      <c r="AQ2697" s="16">
        <v>675</v>
      </c>
      <c r="AR2697" s="35">
        <v>0</v>
      </c>
    </row>
    <row r="2698" spans="43:44" x14ac:dyDescent="0.25">
      <c r="AQ2698" s="136" t="s">
        <v>54</v>
      </c>
      <c r="AR2698" s="35">
        <v>0</v>
      </c>
    </row>
    <row r="2699" spans="43:44" x14ac:dyDescent="0.25">
      <c r="AQ2699" s="138" t="s">
        <v>54</v>
      </c>
      <c r="AR2699" s="35">
        <v>0</v>
      </c>
    </row>
    <row r="2700" spans="43:44" x14ac:dyDescent="0.25">
      <c r="AQ2700" s="139" t="s">
        <v>60</v>
      </c>
      <c r="AR2700" s="35">
        <v>0</v>
      </c>
    </row>
    <row r="2701" spans="43:44" x14ac:dyDescent="0.25">
      <c r="AQ2701" s="16">
        <v>676</v>
      </c>
      <c r="AR2701" s="35">
        <v>0</v>
      </c>
    </row>
    <row r="2702" spans="43:44" x14ac:dyDescent="0.25">
      <c r="AQ2702" s="136" t="s">
        <v>54</v>
      </c>
      <c r="AR2702" s="35">
        <v>0</v>
      </c>
    </row>
    <row r="2703" spans="43:44" x14ac:dyDescent="0.25">
      <c r="AQ2703" s="138" t="s">
        <v>54</v>
      </c>
      <c r="AR2703" s="35">
        <v>0</v>
      </c>
    </row>
    <row r="2704" spans="43:44" x14ac:dyDescent="0.25">
      <c r="AQ2704" s="139" t="s">
        <v>60</v>
      </c>
      <c r="AR2704" s="35">
        <v>0</v>
      </c>
    </row>
    <row r="2705" spans="43:44" x14ac:dyDescent="0.25">
      <c r="AQ2705" s="16">
        <v>677</v>
      </c>
      <c r="AR2705" s="35">
        <v>0</v>
      </c>
    </row>
    <row r="2706" spans="43:44" x14ac:dyDescent="0.25">
      <c r="AQ2706" s="136" t="s">
        <v>54</v>
      </c>
      <c r="AR2706" s="35">
        <v>0</v>
      </c>
    </row>
    <row r="2707" spans="43:44" x14ac:dyDescent="0.25">
      <c r="AQ2707" s="138" t="s">
        <v>54</v>
      </c>
      <c r="AR2707" s="35">
        <v>0</v>
      </c>
    </row>
    <row r="2708" spans="43:44" x14ac:dyDescent="0.25">
      <c r="AQ2708" s="139" t="s">
        <v>60</v>
      </c>
      <c r="AR2708" s="35">
        <v>0</v>
      </c>
    </row>
    <row r="2709" spans="43:44" x14ac:dyDescent="0.25">
      <c r="AQ2709" s="16">
        <v>678</v>
      </c>
      <c r="AR2709" s="35">
        <v>0</v>
      </c>
    </row>
    <row r="2710" spans="43:44" x14ac:dyDescent="0.25">
      <c r="AQ2710" s="136" t="s">
        <v>54</v>
      </c>
      <c r="AR2710" s="35">
        <v>0</v>
      </c>
    </row>
    <row r="2711" spans="43:44" x14ac:dyDescent="0.25">
      <c r="AQ2711" s="138" t="s">
        <v>54</v>
      </c>
      <c r="AR2711" s="35">
        <v>0</v>
      </c>
    </row>
    <row r="2712" spans="43:44" x14ac:dyDescent="0.25">
      <c r="AQ2712" s="139" t="s">
        <v>60</v>
      </c>
      <c r="AR2712" s="35">
        <v>0</v>
      </c>
    </row>
    <row r="2713" spans="43:44" x14ac:dyDescent="0.25">
      <c r="AQ2713" s="16">
        <v>679</v>
      </c>
      <c r="AR2713" s="35">
        <v>0</v>
      </c>
    </row>
    <row r="2714" spans="43:44" x14ac:dyDescent="0.25">
      <c r="AQ2714" s="136" t="s">
        <v>54</v>
      </c>
      <c r="AR2714" s="35">
        <v>0</v>
      </c>
    </row>
    <row r="2715" spans="43:44" x14ac:dyDescent="0.25">
      <c r="AQ2715" s="138" t="s">
        <v>54</v>
      </c>
      <c r="AR2715" s="35">
        <v>0</v>
      </c>
    </row>
    <row r="2716" spans="43:44" x14ac:dyDescent="0.25">
      <c r="AQ2716" s="139" t="s">
        <v>60</v>
      </c>
      <c r="AR2716" s="35">
        <v>0</v>
      </c>
    </row>
    <row r="2717" spans="43:44" x14ac:dyDescent="0.25">
      <c r="AQ2717" s="16">
        <v>680</v>
      </c>
      <c r="AR2717" s="35">
        <v>0</v>
      </c>
    </row>
    <row r="2718" spans="43:44" x14ac:dyDescent="0.25">
      <c r="AQ2718" s="136" t="s">
        <v>54</v>
      </c>
      <c r="AR2718" s="35">
        <v>0</v>
      </c>
    </row>
    <row r="2719" spans="43:44" x14ac:dyDescent="0.25">
      <c r="AQ2719" s="138" t="s">
        <v>54</v>
      </c>
      <c r="AR2719" s="35">
        <v>0</v>
      </c>
    </row>
    <row r="2720" spans="43:44" x14ac:dyDescent="0.25">
      <c r="AQ2720" s="139" t="s">
        <v>60</v>
      </c>
      <c r="AR2720" s="35">
        <v>0</v>
      </c>
    </row>
    <row r="2721" spans="43:44" x14ac:dyDescent="0.25">
      <c r="AQ2721" s="16">
        <v>681</v>
      </c>
      <c r="AR2721" s="35">
        <v>0</v>
      </c>
    </row>
    <row r="2722" spans="43:44" x14ac:dyDescent="0.25">
      <c r="AQ2722" s="136" t="s">
        <v>54</v>
      </c>
      <c r="AR2722" s="35">
        <v>0</v>
      </c>
    </row>
    <row r="2723" spans="43:44" x14ac:dyDescent="0.25">
      <c r="AQ2723" s="138" t="s">
        <v>54</v>
      </c>
      <c r="AR2723" s="35">
        <v>0</v>
      </c>
    </row>
    <row r="2724" spans="43:44" x14ac:dyDescent="0.25">
      <c r="AQ2724" s="139" t="s">
        <v>60</v>
      </c>
      <c r="AR2724" s="35">
        <v>0</v>
      </c>
    </row>
    <row r="2725" spans="43:44" x14ac:dyDescent="0.25">
      <c r="AQ2725" s="16">
        <v>682</v>
      </c>
      <c r="AR2725" s="35">
        <v>0</v>
      </c>
    </row>
    <row r="2726" spans="43:44" x14ac:dyDescent="0.25">
      <c r="AQ2726" s="136" t="s">
        <v>54</v>
      </c>
      <c r="AR2726" s="35">
        <v>0</v>
      </c>
    </row>
    <row r="2727" spans="43:44" x14ac:dyDescent="0.25">
      <c r="AQ2727" s="138" t="s">
        <v>54</v>
      </c>
      <c r="AR2727" s="35">
        <v>0</v>
      </c>
    </row>
    <row r="2728" spans="43:44" x14ac:dyDescent="0.25">
      <c r="AQ2728" s="139" t="s">
        <v>60</v>
      </c>
      <c r="AR2728" s="35">
        <v>0</v>
      </c>
    </row>
    <row r="2729" spans="43:44" x14ac:dyDescent="0.25">
      <c r="AQ2729" s="16">
        <v>683</v>
      </c>
      <c r="AR2729" s="35">
        <v>0</v>
      </c>
    </row>
    <row r="2730" spans="43:44" x14ac:dyDescent="0.25">
      <c r="AQ2730" s="136" t="s">
        <v>54</v>
      </c>
      <c r="AR2730" s="35">
        <v>0</v>
      </c>
    </row>
    <row r="2731" spans="43:44" x14ac:dyDescent="0.25">
      <c r="AQ2731" s="138" t="s">
        <v>54</v>
      </c>
      <c r="AR2731" s="35">
        <v>0</v>
      </c>
    </row>
    <row r="2732" spans="43:44" x14ac:dyDescent="0.25">
      <c r="AQ2732" s="139" t="s">
        <v>60</v>
      </c>
      <c r="AR2732" s="35">
        <v>0</v>
      </c>
    </row>
    <row r="2733" spans="43:44" x14ac:dyDescent="0.25">
      <c r="AQ2733" s="16">
        <v>684</v>
      </c>
      <c r="AR2733" s="35">
        <v>0</v>
      </c>
    </row>
    <row r="2734" spans="43:44" x14ac:dyDescent="0.25">
      <c r="AQ2734" s="136" t="s">
        <v>54</v>
      </c>
      <c r="AR2734" s="35">
        <v>0</v>
      </c>
    </row>
    <row r="2735" spans="43:44" x14ac:dyDescent="0.25">
      <c r="AQ2735" s="138" t="s">
        <v>54</v>
      </c>
      <c r="AR2735" s="35">
        <v>0</v>
      </c>
    </row>
    <row r="2736" spans="43:44" x14ac:dyDescent="0.25">
      <c r="AQ2736" s="139" t="s">
        <v>60</v>
      </c>
      <c r="AR2736" s="35">
        <v>0</v>
      </c>
    </row>
    <row r="2737" spans="43:44" x14ac:dyDescent="0.25">
      <c r="AQ2737" s="16">
        <v>685</v>
      </c>
      <c r="AR2737" s="35">
        <v>0</v>
      </c>
    </row>
    <row r="2738" spans="43:44" x14ac:dyDescent="0.25">
      <c r="AQ2738" s="136" t="s">
        <v>54</v>
      </c>
      <c r="AR2738" s="35">
        <v>0</v>
      </c>
    </row>
    <row r="2739" spans="43:44" x14ac:dyDescent="0.25">
      <c r="AQ2739" s="138" t="s">
        <v>54</v>
      </c>
      <c r="AR2739" s="35">
        <v>0</v>
      </c>
    </row>
    <row r="2740" spans="43:44" x14ac:dyDescent="0.25">
      <c r="AQ2740" s="139" t="s">
        <v>60</v>
      </c>
      <c r="AR2740" s="35">
        <v>0</v>
      </c>
    </row>
    <row r="2741" spans="43:44" x14ac:dyDescent="0.25">
      <c r="AQ2741" s="16">
        <v>686</v>
      </c>
      <c r="AR2741" s="35">
        <v>0</v>
      </c>
    </row>
    <row r="2742" spans="43:44" x14ac:dyDescent="0.25">
      <c r="AQ2742" s="136" t="s">
        <v>54</v>
      </c>
      <c r="AR2742" s="35">
        <v>0</v>
      </c>
    </row>
    <row r="2743" spans="43:44" x14ac:dyDescent="0.25">
      <c r="AQ2743" s="138" t="s">
        <v>54</v>
      </c>
      <c r="AR2743" s="35">
        <v>0</v>
      </c>
    </row>
    <row r="2744" spans="43:44" x14ac:dyDescent="0.25">
      <c r="AQ2744" s="139" t="s">
        <v>60</v>
      </c>
      <c r="AR2744" s="35">
        <v>0</v>
      </c>
    </row>
    <row r="2745" spans="43:44" x14ac:dyDescent="0.25">
      <c r="AQ2745" s="16">
        <v>687</v>
      </c>
      <c r="AR2745" s="35">
        <v>0</v>
      </c>
    </row>
    <row r="2746" spans="43:44" x14ac:dyDescent="0.25">
      <c r="AQ2746" s="136" t="s">
        <v>54</v>
      </c>
      <c r="AR2746" s="35">
        <v>0</v>
      </c>
    </row>
    <row r="2747" spans="43:44" x14ac:dyDescent="0.25">
      <c r="AQ2747" s="138" t="s">
        <v>54</v>
      </c>
      <c r="AR2747" s="35">
        <v>0</v>
      </c>
    </row>
    <row r="2748" spans="43:44" x14ac:dyDescent="0.25">
      <c r="AQ2748" s="139" t="s">
        <v>60</v>
      </c>
      <c r="AR2748" s="35">
        <v>0</v>
      </c>
    </row>
    <row r="2749" spans="43:44" x14ac:dyDescent="0.25">
      <c r="AQ2749" s="16">
        <v>688</v>
      </c>
      <c r="AR2749" s="35">
        <v>0</v>
      </c>
    </row>
    <row r="2750" spans="43:44" x14ac:dyDescent="0.25">
      <c r="AQ2750" s="136" t="s">
        <v>54</v>
      </c>
      <c r="AR2750" s="35">
        <v>0</v>
      </c>
    </row>
    <row r="2751" spans="43:44" x14ac:dyDescent="0.25">
      <c r="AQ2751" s="138" t="s">
        <v>54</v>
      </c>
      <c r="AR2751" s="35">
        <v>0</v>
      </c>
    </row>
    <row r="2752" spans="43:44" x14ac:dyDescent="0.25">
      <c r="AQ2752" s="139" t="s">
        <v>60</v>
      </c>
      <c r="AR2752" s="35">
        <v>0</v>
      </c>
    </row>
    <row r="2753" spans="43:44" x14ac:dyDescent="0.25">
      <c r="AQ2753" s="16">
        <v>689</v>
      </c>
      <c r="AR2753" s="35">
        <v>0</v>
      </c>
    </row>
    <row r="2754" spans="43:44" x14ac:dyDescent="0.25">
      <c r="AQ2754" s="136" t="s">
        <v>54</v>
      </c>
      <c r="AR2754" s="35">
        <v>0</v>
      </c>
    </row>
    <row r="2755" spans="43:44" x14ac:dyDescent="0.25">
      <c r="AQ2755" s="138" t="s">
        <v>54</v>
      </c>
      <c r="AR2755" s="35">
        <v>0</v>
      </c>
    </row>
    <row r="2756" spans="43:44" x14ac:dyDescent="0.25">
      <c r="AQ2756" s="139" t="s">
        <v>60</v>
      </c>
      <c r="AR2756" s="35">
        <v>0</v>
      </c>
    </row>
    <row r="2757" spans="43:44" x14ac:dyDescent="0.25">
      <c r="AQ2757" s="16">
        <v>690</v>
      </c>
      <c r="AR2757" s="35">
        <v>0</v>
      </c>
    </row>
    <row r="2758" spans="43:44" x14ac:dyDescent="0.25">
      <c r="AQ2758" s="136" t="s">
        <v>54</v>
      </c>
      <c r="AR2758" s="35">
        <v>0</v>
      </c>
    </row>
    <row r="2759" spans="43:44" x14ac:dyDescent="0.25">
      <c r="AQ2759" s="138" t="s">
        <v>54</v>
      </c>
      <c r="AR2759" s="35">
        <v>0</v>
      </c>
    </row>
    <row r="2760" spans="43:44" x14ac:dyDescent="0.25">
      <c r="AQ2760" s="139" t="s">
        <v>60</v>
      </c>
      <c r="AR2760" s="35">
        <v>0</v>
      </c>
    </row>
    <row r="2761" spans="43:44" x14ac:dyDescent="0.25">
      <c r="AQ2761" s="16">
        <v>691</v>
      </c>
      <c r="AR2761" s="35">
        <v>0</v>
      </c>
    </row>
    <row r="2762" spans="43:44" x14ac:dyDescent="0.25">
      <c r="AQ2762" s="136" t="s">
        <v>54</v>
      </c>
      <c r="AR2762" s="35">
        <v>0</v>
      </c>
    </row>
    <row r="2763" spans="43:44" x14ac:dyDescent="0.25">
      <c r="AQ2763" s="138" t="s">
        <v>54</v>
      </c>
      <c r="AR2763" s="35">
        <v>0</v>
      </c>
    </row>
    <row r="2764" spans="43:44" x14ac:dyDescent="0.25">
      <c r="AQ2764" s="139" t="s">
        <v>60</v>
      </c>
      <c r="AR2764" s="35">
        <v>0</v>
      </c>
    </row>
    <row r="2765" spans="43:44" x14ac:dyDescent="0.25">
      <c r="AQ2765" s="16">
        <v>692</v>
      </c>
      <c r="AR2765" s="35">
        <v>0</v>
      </c>
    </row>
    <row r="2766" spans="43:44" x14ac:dyDescent="0.25">
      <c r="AQ2766" s="136" t="s">
        <v>54</v>
      </c>
      <c r="AR2766" s="35">
        <v>0</v>
      </c>
    </row>
    <row r="2767" spans="43:44" x14ac:dyDescent="0.25">
      <c r="AQ2767" s="138" t="s">
        <v>54</v>
      </c>
      <c r="AR2767" s="35">
        <v>0</v>
      </c>
    </row>
    <row r="2768" spans="43:44" x14ac:dyDescent="0.25">
      <c r="AQ2768" s="139" t="s">
        <v>60</v>
      </c>
      <c r="AR2768" s="35">
        <v>0</v>
      </c>
    </row>
    <row r="2769" spans="43:44" x14ac:dyDescent="0.25">
      <c r="AQ2769" s="16">
        <v>693</v>
      </c>
      <c r="AR2769" s="35">
        <v>0</v>
      </c>
    </row>
    <row r="2770" spans="43:44" x14ac:dyDescent="0.25">
      <c r="AQ2770" s="136" t="s">
        <v>54</v>
      </c>
      <c r="AR2770" s="35">
        <v>0</v>
      </c>
    </row>
    <row r="2771" spans="43:44" x14ac:dyDescent="0.25">
      <c r="AQ2771" s="138" t="s">
        <v>54</v>
      </c>
      <c r="AR2771" s="35">
        <v>0</v>
      </c>
    </row>
    <row r="2772" spans="43:44" x14ac:dyDescent="0.25">
      <c r="AQ2772" s="139" t="s">
        <v>60</v>
      </c>
      <c r="AR2772" s="35">
        <v>0</v>
      </c>
    </row>
    <row r="2773" spans="43:44" x14ac:dyDescent="0.25">
      <c r="AQ2773" s="16">
        <v>694</v>
      </c>
      <c r="AR2773" s="35">
        <v>0</v>
      </c>
    </row>
    <row r="2774" spans="43:44" x14ac:dyDescent="0.25">
      <c r="AQ2774" s="136" t="s">
        <v>54</v>
      </c>
      <c r="AR2774" s="35">
        <v>0</v>
      </c>
    </row>
    <row r="2775" spans="43:44" x14ac:dyDescent="0.25">
      <c r="AQ2775" s="138" t="s">
        <v>54</v>
      </c>
      <c r="AR2775" s="35">
        <v>0</v>
      </c>
    </row>
    <row r="2776" spans="43:44" x14ac:dyDescent="0.25">
      <c r="AQ2776" s="139" t="s">
        <v>60</v>
      </c>
      <c r="AR2776" s="35">
        <v>0</v>
      </c>
    </row>
    <row r="2777" spans="43:44" x14ac:dyDescent="0.25">
      <c r="AQ2777" s="16">
        <v>695</v>
      </c>
      <c r="AR2777" s="35">
        <v>0</v>
      </c>
    </row>
    <row r="2778" spans="43:44" x14ac:dyDescent="0.25">
      <c r="AQ2778" s="136" t="s">
        <v>54</v>
      </c>
      <c r="AR2778" s="35">
        <v>0</v>
      </c>
    </row>
    <row r="2779" spans="43:44" x14ac:dyDescent="0.25">
      <c r="AQ2779" s="138" t="s">
        <v>54</v>
      </c>
      <c r="AR2779" s="35">
        <v>0</v>
      </c>
    </row>
    <row r="2780" spans="43:44" x14ac:dyDescent="0.25">
      <c r="AQ2780" s="139" t="s">
        <v>60</v>
      </c>
      <c r="AR2780" s="35">
        <v>0</v>
      </c>
    </row>
    <row r="2781" spans="43:44" x14ac:dyDescent="0.25">
      <c r="AQ2781" s="16">
        <v>696</v>
      </c>
      <c r="AR2781" s="35">
        <v>0</v>
      </c>
    </row>
    <row r="2782" spans="43:44" x14ac:dyDescent="0.25">
      <c r="AQ2782" s="136" t="s">
        <v>54</v>
      </c>
      <c r="AR2782" s="35">
        <v>0</v>
      </c>
    </row>
    <row r="2783" spans="43:44" x14ac:dyDescent="0.25">
      <c r="AQ2783" s="138" t="s">
        <v>54</v>
      </c>
      <c r="AR2783" s="35">
        <v>0</v>
      </c>
    </row>
    <row r="2784" spans="43:44" x14ac:dyDescent="0.25">
      <c r="AQ2784" s="139" t="s">
        <v>60</v>
      </c>
      <c r="AR2784" s="35">
        <v>0</v>
      </c>
    </row>
    <row r="2785" spans="43:44" x14ac:dyDescent="0.25">
      <c r="AQ2785" s="16">
        <v>697</v>
      </c>
      <c r="AR2785" s="35">
        <v>0</v>
      </c>
    </row>
    <row r="2786" spans="43:44" x14ac:dyDescent="0.25">
      <c r="AQ2786" s="136" t="s">
        <v>54</v>
      </c>
      <c r="AR2786" s="35">
        <v>0</v>
      </c>
    </row>
    <row r="2787" spans="43:44" x14ac:dyDescent="0.25">
      <c r="AQ2787" s="138" t="s">
        <v>54</v>
      </c>
      <c r="AR2787" s="35">
        <v>0</v>
      </c>
    </row>
    <row r="2788" spans="43:44" x14ac:dyDescent="0.25">
      <c r="AQ2788" s="139" t="s">
        <v>60</v>
      </c>
      <c r="AR2788" s="35">
        <v>0</v>
      </c>
    </row>
    <row r="2789" spans="43:44" x14ac:dyDescent="0.25">
      <c r="AQ2789" s="16">
        <v>698</v>
      </c>
      <c r="AR2789" s="35">
        <v>0</v>
      </c>
    </row>
    <row r="2790" spans="43:44" x14ac:dyDescent="0.25">
      <c r="AQ2790" s="136" t="s">
        <v>54</v>
      </c>
      <c r="AR2790" s="35">
        <v>0</v>
      </c>
    </row>
    <row r="2791" spans="43:44" x14ac:dyDescent="0.25">
      <c r="AQ2791" s="138" t="s">
        <v>54</v>
      </c>
      <c r="AR2791" s="35">
        <v>0</v>
      </c>
    </row>
    <row r="2792" spans="43:44" x14ac:dyDescent="0.25">
      <c r="AQ2792" s="139" t="s">
        <v>60</v>
      </c>
      <c r="AR2792" s="35">
        <v>0</v>
      </c>
    </row>
    <row r="2793" spans="43:44" x14ac:dyDescent="0.25">
      <c r="AQ2793" s="16">
        <v>699</v>
      </c>
      <c r="AR2793" s="35">
        <v>0</v>
      </c>
    </row>
    <row r="2794" spans="43:44" x14ac:dyDescent="0.25">
      <c r="AQ2794" s="136" t="s">
        <v>54</v>
      </c>
      <c r="AR2794" s="35">
        <v>0</v>
      </c>
    </row>
    <row r="2795" spans="43:44" x14ac:dyDescent="0.25">
      <c r="AQ2795" s="138" t="s">
        <v>54</v>
      </c>
      <c r="AR2795" s="35">
        <v>0</v>
      </c>
    </row>
    <row r="2796" spans="43:44" x14ac:dyDescent="0.25">
      <c r="AQ2796" s="139" t="s">
        <v>60</v>
      </c>
      <c r="AR2796" s="35">
        <v>0</v>
      </c>
    </row>
    <row r="2797" spans="43:44" x14ac:dyDescent="0.25">
      <c r="AQ2797" s="16">
        <v>700</v>
      </c>
      <c r="AR2797" s="35">
        <v>0</v>
      </c>
    </row>
    <row r="2798" spans="43:44" x14ac:dyDescent="0.25">
      <c r="AQ2798" s="136" t="s">
        <v>54</v>
      </c>
      <c r="AR2798" s="35">
        <v>0</v>
      </c>
    </row>
    <row r="2799" spans="43:44" x14ac:dyDescent="0.25">
      <c r="AQ2799" s="138" t="s">
        <v>54</v>
      </c>
      <c r="AR2799" s="35">
        <v>0</v>
      </c>
    </row>
    <row r="2800" spans="43:44" x14ac:dyDescent="0.25">
      <c r="AQ2800" s="139" t="s">
        <v>60</v>
      </c>
      <c r="AR2800" s="35">
        <v>0</v>
      </c>
    </row>
    <row r="2801" spans="43:44" x14ac:dyDescent="0.25">
      <c r="AQ2801" s="16">
        <v>701</v>
      </c>
      <c r="AR2801" s="35">
        <v>0</v>
      </c>
    </row>
    <row r="2802" spans="43:44" x14ac:dyDescent="0.25">
      <c r="AQ2802" s="136" t="s">
        <v>54</v>
      </c>
      <c r="AR2802" s="35">
        <v>0</v>
      </c>
    </row>
    <row r="2803" spans="43:44" x14ac:dyDescent="0.25">
      <c r="AQ2803" s="138" t="s">
        <v>54</v>
      </c>
      <c r="AR2803" s="35">
        <v>0</v>
      </c>
    </row>
    <row r="2804" spans="43:44" x14ac:dyDescent="0.25">
      <c r="AQ2804" s="139" t="s">
        <v>60</v>
      </c>
      <c r="AR2804" s="35">
        <v>0</v>
      </c>
    </row>
    <row r="2805" spans="43:44" x14ac:dyDescent="0.25">
      <c r="AQ2805" s="16">
        <v>702</v>
      </c>
      <c r="AR2805" s="35">
        <v>0</v>
      </c>
    </row>
    <row r="2806" spans="43:44" x14ac:dyDescent="0.25">
      <c r="AQ2806" s="136" t="s">
        <v>54</v>
      </c>
      <c r="AR2806" s="35">
        <v>0</v>
      </c>
    </row>
    <row r="2807" spans="43:44" x14ac:dyDescent="0.25">
      <c r="AQ2807" s="138" t="s">
        <v>54</v>
      </c>
      <c r="AR2807" s="35">
        <v>0</v>
      </c>
    </row>
    <row r="2808" spans="43:44" x14ac:dyDescent="0.25">
      <c r="AQ2808" s="139" t="s">
        <v>60</v>
      </c>
      <c r="AR2808" s="35">
        <v>0</v>
      </c>
    </row>
    <row r="2809" spans="43:44" x14ac:dyDescent="0.25">
      <c r="AQ2809" s="16">
        <v>703</v>
      </c>
      <c r="AR2809" s="35">
        <v>0</v>
      </c>
    </row>
    <row r="2810" spans="43:44" x14ac:dyDescent="0.25">
      <c r="AQ2810" s="136" t="s">
        <v>54</v>
      </c>
      <c r="AR2810" s="35">
        <v>0</v>
      </c>
    </row>
    <row r="2811" spans="43:44" x14ac:dyDescent="0.25">
      <c r="AQ2811" s="138" t="s">
        <v>54</v>
      </c>
      <c r="AR2811" s="35">
        <v>0</v>
      </c>
    </row>
    <row r="2812" spans="43:44" x14ac:dyDescent="0.25">
      <c r="AQ2812" s="139" t="s">
        <v>60</v>
      </c>
      <c r="AR2812" s="35">
        <v>0</v>
      </c>
    </row>
    <row r="2813" spans="43:44" x14ac:dyDescent="0.25">
      <c r="AQ2813" s="16">
        <v>704</v>
      </c>
      <c r="AR2813" s="35">
        <v>0</v>
      </c>
    </row>
    <row r="2814" spans="43:44" x14ac:dyDescent="0.25">
      <c r="AQ2814" s="136" t="s">
        <v>54</v>
      </c>
      <c r="AR2814" s="35">
        <v>0</v>
      </c>
    </row>
    <row r="2815" spans="43:44" x14ac:dyDescent="0.25">
      <c r="AQ2815" s="138" t="s">
        <v>54</v>
      </c>
      <c r="AR2815" s="35">
        <v>0</v>
      </c>
    </row>
    <row r="2816" spans="43:44" x14ac:dyDescent="0.25">
      <c r="AQ2816" s="139" t="s">
        <v>60</v>
      </c>
      <c r="AR2816" s="35">
        <v>0</v>
      </c>
    </row>
    <row r="2817" spans="43:44" x14ac:dyDescent="0.25">
      <c r="AQ2817" s="16">
        <v>705</v>
      </c>
      <c r="AR2817" s="35">
        <v>0</v>
      </c>
    </row>
    <row r="2818" spans="43:44" x14ac:dyDescent="0.25">
      <c r="AQ2818" s="136" t="s">
        <v>54</v>
      </c>
      <c r="AR2818" s="35">
        <v>0</v>
      </c>
    </row>
    <row r="2819" spans="43:44" x14ac:dyDescent="0.25">
      <c r="AQ2819" s="138" t="s">
        <v>54</v>
      </c>
      <c r="AR2819" s="35">
        <v>0</v>
      </c>
    </row>
    <row r="2820" spans="43:44" x14ac:dyDescent="0.25">
      <c r="AQ2820" s="139" t="s">
        <v>60</v>
      </c>
      <c r="AR2820" s="35">
        <v>0</v>
      </c>
    </row>
    <row r="2821" spans="43:44" x14ac:dyDescent="0.25">
      <c r="AQ2821" s="16">
        <v>706</v>
      </c>
      <c r="AR2821" s="35">
        <v>0</v>
      </c>
    </row>
    <row r="2822" spans="43:44" x14ac:dyDescent="0.25">
      <c r="AQ2822" s="136" t="s">
        <v>54</v>
      </c>
      <c r="AR2822" s="35">
        <v>0</v>
      </c>
    </row>
    <row r="2823" spans="43:44" x14ac:dyDescent="0.25">
      <c r="AQ2823" s="138" t="s">
        <v>54</v>
      </c>
      <c r="AR2823" s="35">
        <v>0</v>
      </c>
    </row>
    <row r="2824" spans="43:44" x14ac:dyDescent="0.25">
      <c r="AQ2824" s="139" t="s">
        <v>60</v>
      </c>
      <c r="AR2824" s="35">
        <v>0</v>
      </c>
    </row>
    <row r="2825" spans="43:44" x14ac:dyDescent="0.25">
      <c r="AQ2825" s="16">
        <v>707</v>
      </c>
      <c r="AR2825" s="35">
        <v>0</v>
      </c>
    </row>
    <row r="2826" spans="43:44" x14ac:dyDescent="0.25">
      <c r="AQ2826" s="136" t="s">
        <v>54</v>
      </c>
      <c r="AR2826" s="35">
        <v>0</v>
      </c>
    </row>
    <row r="2827" spans="43:44" x14ac:dyDescent="0.25">
      <c r="AQ2827" s="138" t="s">
        <v>54</v>
      </c>
      <c r="AR2827" s="35">
        <v>0</v>
      </c>
    </row>
    <row r="2828" spans="43:44" x14ac:dyDescent="0.25">
      <c r="AQ2828" s="139" t="s">
        <v>60</v>
      </c>
      <c r="AR2828" s="35">
        <v>0</v>
      </c>
    </row>
    <row r="2829" spans="43:44" x14ac:dyDescent="0.25">
      <c r="AQ2829" s="16">
        <v>708</v>
      </c>
      <c r="AR2829" s="35">
        <v>0</v>
      </c>
    </row>
    <row r="2830" spans="43:44" x14ac:dyDescent="0.25">
      <c r="AQ2830" s="136" t="s">
        <v>54</v>
      </c>
      <c r="AR2830" s="35">
        <v>0</v>
      </c>
    </row>
    <row r="2831" spans="43:44" x14ac:dyDescent="0.25">
      <c r="AQ2831" s="138" t="s">
        <v>54</v>
      </c>
      <c r="AR2831" s="35">
        <v>0</v>
      </c>
    </row>
    <row r="2832" spans="43:44" x14ac:dyDescent="0.25">
      <c r="AQ2832" s="139" t="s">
        <v>60</v>
      </c>
      <c r="AR2832" s="35">
        <v>0</v>
      </c>
    </row>
    <row r="2833" spans="43:44" x14ac:dyDescent="0.25">
      <c r="AQ2833" s="16">
        <v>709</v>
      </c>
      <c r="AR2833" s="35">
        <v>0</v>
      </c>
    </row>
    <row r="2834" spans="43:44" x14ac:dyDescent="0.25">
      <c r="AQ2834" s="136" t="s">
        <v>54</v>
      </c>
      <c r="AR2834" s="35">
        <v>0</v>
      </c>
    </row>
    <row r="2835" spans="43:44" x14ac:dyDescent="0.25">
      <c r="AQ2835" s="138" t="s">
        <v>54</v>
      </c>
      <c r="AR2835" s="35">
        <v>0</v>
      </c>
    </row>
    <row r="2836" spans="43:44" x14ac:dyDescent="0.25">
      <c r="AQ2836" s="139" t="s">
        <v>60</v>
      </c>
      <c r="AR2836" s="35">
        <v>0</v>
      </c>
    </row>
    <row r="2837" spans="43:44" x14ac:dyDescent="0.25">
      <c r="AQ2837" s="16">
        <v>710</v>
      </c>
      <c r="AR2837" s="35">
        <v>0</v>
      </c>
    </row>
    <row r="2838" spans="43:44" x14ac:dyDescent="0.25">
      <c r="AQ2838" s="136" t="s">
        <v>54</v>
      </c>
      <c r="AR2838" s="35">
        <v>0</v>
      </c>
    </row>
    <row r="2839" spans="43:44" x14ac:dyDescent="0.25">
      <c r="AQ2839" s="138" t="s">
        <v>54</v>
      </c>
      <c r="AR2839" s="35">
        <v>0</v>
      </c>
    </row>
    <row r="2840" spans="43:44" x14ac:dyDescent="0.25">
      <c r="AQ2840" s="139" t="s">
        <v>60</v>
      </c>
      <c r="AR2840" s="35">
        <v>0</v>
      </c>
    </row>
    <row r="2841" spans="43:44" x14ac:dyDescent="0.25">
      <c r="AQ2841" s="16">
        <v>711</v>
      </c>
      <c r="AR2841" s="35">
        <v>0</v>
      </c>
    </row>
    <row r="2842" spans="43:44" x14ac:dyDescent="0.25">
      <c r="AQ2842" s="136" t="s">
        <v>54</v>
      </c>
      <c r="AR2842" s="35">
        <v>0</v>
      </c>
    </row>
    <row r="2843" spans="43:44" x14ac:dyDescent="0.25">
      <c r="AQ2843" s="138" t="s">
        <v>54</v>
      </c>
      <c r="AR2843" s="35">
        <v>0</v>
      </c>
    </row>
    <row r="2844" spans="43:44" x14ac:dyDescent="0.25">
      <c r="AQ2844" s="139" t="s">
        <v>60</v>
      </c>
      <c r="AR2844" s="35">
        <v>0</v>
      </c>
    </row>
    <row r="2845" spans="43:44" x14ac:dyDescent="0.25">
      <c r="AQ2845" s="16">
        <v>712</v>
      </c>
      <c r="AR2845" s="35">
        <v>0</v>
      </c>
    </row>
    <row r="2846" spans="43:44" x14ac:dyDescent="0.25">
      <c r="AQ2846" s="136" t="s">
        <v>54</v>
      </c>
      <c r="AR2846" s="35">
        <v>0</v>
      </c>
    </row>
    <row r="2847" spans="43:44" x14ac:dyDescent="0.25">
      <c r="AQ2847" s="138" t="s">
        <v>54</v>
      </c>
      <c r="AR2847" s="35">
        <v>0</v>
      </c>
    </row>
    <row r="2848" spans="43:44" x14ac:dyDescent="0.25">
      <c r="AQ2848" s="139" t="s">
        <v>60</v>
      </c>
      <c r="AR2848" s="35">
        <v>0</v>
      </c>
    </row>
    <row r="2849" spans="43:44" x14ac:dyDescent="0.25">
      <c r="AQ2849" s="16">
        <v>713</v>
      </c>
      <c r="AR2849" s="35">
        <v>0</v>
      </c>
    </row>
    <row r="2850" spans="43:44" x14ac:dyDescent="0.25">
      <c r="AQ2850" s="136" t="s">
        <v>54</v>
      </c>
      <c r="AR2850" s="35">
        <v>0</v>
      </c>
    </row>
    <row r="2851" spans="43:44" x14ac:dyDescent="0.25">
      <c r="AQ2851" s="138" t="s">
        <v>54</v>
      </c>
      <c r="AR2851" s="35">
        <v>0</v>
      </c>
    </row>
    <row r="2852" spans="43:44" x14ac:dyDescent="0.25">
      <c r="AQ2852" s="139" t="s">
        <v>60</v>
      </c>
      <c r="AR2852" s="35">
        <v>0</v>
      </c>
    </row>
    <row r="2853" spans="43:44" x14ac:dyDescent="0.25">
      <c r="AQ2853" s="16">
        <v>714</v>
      </c>
      <c r="AR2853" s="35">
        <v>0</v>
      </c>
    </row>
    <row r="2854" spans="43:44" x14ac:dyDescent="0.25">
      <c r="AQ2854" s="136" t="s">
        <v>54</v>
      </c>
      <c r="AR2854" s="35">
        <v>0</v>
      </c>
    </row>
    <row r="2855" spans="43:44" x14ac:dyDescent="0.25">
      <c r="AQ2855" s="138" t="s">
        <v>54</v>
      </c>
      <c r="AR2855" s="35">
        <v>0</v>
      </c>
    </row>
    <row r="2856" spans="43:44" x14ac:dyDescent="0.25">
      <c r="AQ2856" s="139" t="s">
        <v>60</v>
      </c>
      <c r="AR2856" s="35">
        <v>0</v>
      </c>
    </row>
    <row r="2857" spans="43:44" x14ac:dyDescent="0.25">
      <c r="AQ2857" s="16">
        <v>715</v>
      </c>
      <c r="AR2857" s="35">
        <v>0</v>
      </c>
    </row>
    <row r="2858" spans="43:44" x14ac:dyDescent="0.25">
      <c r="AQ2858" s="136" t="s">
        <v>54</v>
      </c>
      <c r="AR2858" s="35">
        <v>0</v>
      </c>
    </row>
    <row r="2859" spans="43:44" x14ac:dyDescent="0.25">
      <c r="AQ2859" s="138" t="s">
        <v>54</v>
      </c>
      <c r="AR2859" s="35">
        <v>0</v>
      </c>
    </row>
    <row r="2860" spans="43:44" x14ac:dyDescent="0.25">
      <c r="AQ2860" s="139" t="s">
        <v>60</v>
      </c>
      <c r="AR2860" s="35">
        <v>0</v>
      </c>
    </row>
    <row r="2861" spans="43:44" x14ac:dyDescent="0.25">
      <c r="AQ2861" s="16">
        <v>716</v>
      </c>
      <c r="AR2861" s="35">
        <v>0</v>
      </c>
    </row>
    <row r="2862" spans="43:44" x14ac:dyDescent="0.25">
      <c r="AQ2862" s="136" t="s">
        <v>54</v>
      </c>
      <c r="AR2862" s="35">
        <v>0</v>
      </c>
    </row>
    <row r="2863" spans="43:44" x14ac:dyDescent="0.25">
      <c r="AQ2863" s="138" t="s">
        <v>54</v>
      </c>
      <c r="AR2863" s="35">
        <v>0</v>
      </c>
    </row>
    <row r="2864" spans="43:44" x14ac:dyDescent="0.25">
      <c r="AQ2864" s="139" t="s">
        <v>60</v>
      </c>
      <c r="AR2864" s="35">
        <v>0</v>
      </c>
    </row>
    <row r="2865" spans="43:44" x14ac:dyDescent="0.25">
      <c r="AQ2865" s="16">
        <v>717</v>
      </c>
      <c r="AR2865" s="35">
        <v>0</v>
      </c>
    </row>
    <row r="2866" spans="43:44" x14ac:dyDescent="0.25">
      <c r="AQ2866" s="136" t="s">
        <v>54</v>
      </c>
      <c r="AR2866" s="35">
        <v>0</v>
      </c>
    </row>
    <row r="2867" spans="43:44" x14ac:dyDescent="0.25">
      <c r="AQ2867" s="138" t="s">
        <v>54</v>
      </c>
      <c r="AR2867" s="35">
        <v>0</v>
      </c>
    </row>
    <row r="2868" spans="43:44" x14ac:dyDescent="0.25">
      <c r="AQ2868" s="139" t="s">
        <v>60</v>
      </c>
      <c r="AR2868" s="35">
        <v>0</v>
      </c>
    </row>
    <row r="2869" spans="43:44" x14ac:dyDescent="0.25">
      <c r="AQ2869" s="16">
        <v>718</v>
      </c>
      <c r="AR2869" s="35">
        <v>0</v>
      </c>
    </row>
    <row r="2870" spans="43:44" x14ac:dyDescent="0.25">
      <c r="AQ2870" s="136" t="s">
        <v>54</v>
      </c>
      <c r="AR2870" s="35">
        <v>0</v>
      </c>
    </row>
    <row r="2871" spans="43:44" x14ac:dyDescent="0.25">
      <c r="AQ2871" s="138" t="s">
        <v>54</v>
      </c>
      <c r="AR2871" s="35">
        <v>0</v>
      </c>
    </row>
    <row r="2872" spans="43:44" x14ac:dyDescent="0.25">
      <c r="AQ2872" s="139" t="s">
        <v>60</v>
      </c>
      <c r="AR2872" s="35">
        <v>0</v>
      </c>
    </row>
    <row r="2873" spans="43:44" x14ac:dyDescent="0.25">
      <c r="AQ2873" s="16">
        <v>719</v>
      </c>
      <c r="AR2873" s="35">
        <v>0</v>
      </c>
    </row>
    <row r="2874" spans="43:44" x14ac:dyDescent="0.25">
      <c r="AQ2874" s="136" t="s">
        <v>54</v>
      </c>
      <c r="AR2874" s="35">
        <v>0</v>
      </c>
    </row>
    <row r="2875" spans="43:44" x14ac:dyDescent="0.25">
      <c r="AQ2875" s="138" t="s">
        <v>54</v>
      </c>
      <c r="AR2875" s="35">
        <v>0</v>
      </c>
    </row>
    <row r="2876" spans="43:44" x14ac:dyDescent="0.25">
      <c r="AQ2876" s="139" t="s">
        <v>60</v>
      </c>
      <c r="AR2876" s="35">
        <v>0</v>
      </c>
    </row>
    <row r="2877" spans="43:44" x14ac:dyDescent="0.25">
      <c r="AQ2877" s="16">
        <v>720</v>
      </c>
      <c r="AR2877" s="35">
        <v>0</v>
      </c>
    </row>
    <row r="2878" spans="43:44" x14ac:dyDescent="0.25">
      <c r="AQ2878" s="136" t="s">
        <v>54</v>
      </c>
      <c r="AR2878" s="35">
        <v>0</v>
      </c>
    </row>
    <row r="2879" spans="43:44" x14ac:dyDescent="0.25">
      <c r="AQ2879" s="138" t="s">
        <v>54</v>
      </c>
      <c r="AR2879" s="35">
        <v>0</v>
      </c>
    </row>
    <row r="2880" spans="43:44" x14ac:dyDescent="0.25">
      <c r="AQ2880" s="139" t="s">
        <v>60</v>
      </c>
      <c r="AR2880" s="35">
        <v>0</v>
      </c>
    </row>
    <row r="2881" spans="43:44" x14ac:dyDescent="0.25">
      <c r="AQ2881" s="16">
        <v>721</v>
      </c>
      <c r="AR2881" s="35">
        <v>0</v>
      </c>
    </row>
    <row r="2882" spans="43:44" x14ac:dyDescent="0.25">
      <c r="AQ2882" s="136" t="s">
        <v>54</v>
      </c>
      <c r="AR2882" s="35">
        <v>0</v>
      </c>
    </row>
    <row r="2883" spans="43:44" x14ac:dyDescent="0.25">
      <c r="AQ2883" s="138" t="s">
        <v>54</v>
      </c>
      <c r="AR2883" s="35">
        <v>0</v>
      </c>
    </row>
    <row r="2884" spans="43:44" x14ac:dyDescent="0.25">
      <c r="AQ2884" s="139" t="s">
        <v>60</v>
      </c>
      <c r="AR2884" s="35">
        <v>0</v>
      </c>
    </row>
    <row r="2885" spans="43:44" x14ac:dyDescent="0.25">
      <c r="AQ2885" s="16">
        <v>722</v>
      </c>
      <c r="AR2885" s="35">
        <v>0</v>
      </c>
    </row>
    <row r="2886" spans="43:44" x14ac:dyDescent="0.25">
      <c r="AQ2886" s="136" t="s">
        <v>54</v>
      </c>
      <c r="AR2886" s="35">
        <v>0</v>
      </c>
    </row>
    <row r="2887" spans="43:44" x14ac:dyDescent="0.25">
      <c r="AQ2887" s="138" t="s">
        <v>54</v>
      </c>
      <c r="AR2887" s="35">
        <v>0</v>
      </c>
    </row>
    <row r="2888" spans="43:44" x14ac:dyDescent="0.25">
      <c r="AQ2888" s="139" t="s">
        <v>60</v>
      </c>
      <c r="AR2888" s="35">
        <v>0</v>
      </c>
    </row>
    <row r="2889" spans="43:44" x14ac:dyDescent="0.25">
      <c r="AQ2889" s="16">
        <v>723</v>
      </c>
      <c r="AR2889" s="35">
        <v>0</v>
      </c>
    </row>
    <row r="2890" spans="43:44" x14ac:dyDescent="0.25">
      <c r="AQ2890" s="136" t="s">
        <v>54</v>
      </c>
      <c r="AR2890" s="35">
        <v>0</v>
      </c>
    </row>
    <row r="2891" spans="43:44" x14ac:dyDescent="0.25">
      <c r="AQ2891" s="138" t="s">
        <v>54</v>
      </c>
      <c r="AR2891" s="35">
        <v>0</v>
      </c>
    </row>
    <row r="2892" spans="43:44" x14ac:dyDescent="0.25">
      <c r="AQ2892" s="139" t="s">
        <v>60</v>
      </c>
      <c r="AR2892" s="35">
        <v>0</v>
      </c>
    </row>
    <row r="2893" spans="43:44" x14ac:dyDescent="0.25">
      <c r="AQ2893" s="16">
        <v>724</v>
      </c>
      <c r="AR2893" s="35">
        <v>0</v>
      </c>
    </row>
    <row r="2894" spans="43:44" x14ac:dyDescent="0.25">
      <c r="AQ2894" s="136" t="s">
        <v>54</v>
      </c>
      <c r="AR2894" s="35">
        <v>0</v>
      </c>
    </row>
    <row r="2895" spans="43:44" x14ac:dyDescent="0.25">
      <c r="AQ2895" s="138" t="s">
        <v>54</v>
      </c>
      <c r="AR2895" s="35">
        <v>0</v>
      </c>
    </row>
    <row r="2896" spans="43:44" x14ac:dyDescent="0.25">
      <c r="AQ2896" s="139" t="s">
        <v>60</v>
      </c>
      <c r="AR2896" s="35">
        <v>0</v>
      </c>
    </row>
    <row r="2897" spans="43:44" x14ac:dyDescent="0.25">
      <c r="AQ2897" s="16">
        <v>725</v>
      </c>
      <c r="AR2897" s="35">
        <v>0</v>
      </c>
    </row>
    <row r="2898" spans="43:44" x14ac:dyDescent="0.25">
      <c r="AQ2898" s="136" t="s">
        <v>54</v>
      </c>
      <c r="AR2898" s="35">
        <v>0</v>
      </c>
    </row>
    <row r="2899" spans="43:44" x14ac:dyDescent="0.25">
      <c r="AQ2899" s="138" t="s">
        <v>54</v>
      </c>
      <c r="AR2899" s="35">
        <v>0</v>
      </c>
    </row>
    <row r="2900" spans="43:44" x14ac:dyDescent="0.25">
      <c r="AQ2900" s="139" t="s">
        <v>60</v>
      </c>
      <c r="AR2900" s="35">
        <v>0</v>
      </c>
    </row>
    <row r="2901" spans="43:44" x14ac:dyDescent="0.25">
      <c r="AQ2901" s="16">
        <v>726</v>
      </c>
      <c r="AR2901" s="35">
        <v>0</v>
      </c>
    </row>
    <row r="2902" spans="43:44" x14ac:dyDescent="0.25">
      <c r="AQ2902" s="136" t="s">
        <v>54</v>
      </c>
      <c r="AR2902" s="35">
        <v>0</v>
      </c>
    </row>
    <row r="2903" spans="43:44" x14ac:dyDescent="0.25">
      <c r="AQ2903" s="138" t="s">
        <v>54</v>
      </c>
      <c r="AR2903" s="35">
        <v>0</v>
      </c>
    </row>
    <row r="2904" spans="43:44" x14ac:dyDescent="0.25">
      <c r="AQ2904" s="139" t="s">
        <v>60</v>
      </c>
      <c r="AR2904" s="35">
        <v>0</v>
      </c>
    </row>
    <row r="2905" spans="43:44" x14ac:dyDescent="0.25">
      <c r="AQ2905" s="16">
        <v>727</v>
      </c>
      <c r="AR2905" s="35">
        <v>0</v>
      </c>
    </row>
    <row r="2906" spans="43:44" x14ac:dyDescent="0.25">
      <c r="AQ2906" s="136" t="s">
        <v>54</v>
      </c>
      <c r="AR2906" s="35">
        <v>0</v>
      </c>
    </row>
    <row r="2907" spans="43:44" x14ac:dyDescent="0.25">
      <c r="AQ2907" s="138" t="s">
        <v>54</v>
      </c>
      <c r="AR2907" s="35">
        <v>0</v>
      </c>
    </row>
    <row r="2908" spans="43:44" x14ac:dyDescent="0.25">
      <c r="AQ2908" s="139" t="s">
        <v>60</v>
      </c>
      <c r="AR2908" s="35">
        <v>0</v>
      </c>
    </row>
    <row r="2909" spans="43:44" x14ac:dyDescent="0.25">
      <c r="AQ2909" s="16">
        <v>728</v>
      </c>
      <c r="AR2909" s="35">
        <v>0</v>
      </c>
    </row>
    <row r="2910" spans="43:44" x14ac:dyDescent="0.25">
      <c r="AQ2910" s="136" t="s">
        <v>54</v>
      </c>
      <c r="AR2910" s="35">
        <v>0</v>
      </c>
    </row>
    <row r="2911" spans="43:44" x14ac:dyDescent="0.25">
      <c r="AQ2911" s="138" t="s">
        <v>54</v>
      </c>
      <c r="AR2911" s="35">
        <v>0</v>
      </c>
    </row>
    <row r="2912" spans="43:44" x14ac:dyDescent="0.25">
      <c r="AQ2912" s="139" t="s">
        <v>60</v>
      </c>
      <c r="AR2912" s="35">
        <v>0</v>
      </c>
    </row>
    <row r="2913" spans="43:44" x14ac:dyDescent="0.25">
      <c r="AQ2913" s="16">
        <v>729</v>
      </c>
      <c r="AR2913" s="35">
        <v>0</v>
      </c>
    </row>
    <row r="2914" spans="43:44" x14ac:dyDescent="0.25">
      <c r="AQ2914" s="136" t="s">
        <v>54</v>
      </c>
      <c r="AR2914" s="35">
        <v>0</v>
      </c>
    </row>
    <row r="2915" spans="43:44" x14ac:dyDescent="0.25">
      <c r="AQ2915" s="138" t="s">
        <v>54</v>
      </c>
      <c r="AR2915" s="35">
        <v>0</v>
      </c>
    </row>
    <row r="2916" spans="43:44" x14ac:dyDescent="0.25">
      <c r="AQ2916" s="139" t="s">
        <v>60</v>
      </c>
      <c r="AR2916" s="35">
        <v>0</v>
      </c>
    </row>
    <row r="2917" spans="43:44" x14ac:dyDescent="0.25">
      <c r="AQ2917" s="16">
        <v>730</v>
      </c>
      <c r="AR2917" s="35">
        <v>0</v>
      </c>
    </row>
    <row r="2918" spans="43:44" x14ac:dyDescent="0.25">
      <c r="AQ2918" s="136" t="s">
        <v>54</v>
      </c>
      <c r="AR2918" s="35">
        <v>0</v>
      </c>
    </row>
    <row r="2919" spans="43:44" x14ac:dyDescent="0.25">
      <c r="AQ2919" s="138" t="s">
        <v>54</v>
      </c>
      <c r="AR2919" s="35">
        <v>0</v>
      </c>
    </row>
    <row r="2920" spans="43:44" x14ac:dyDescent="0.25">
      <c r="AQ2920" s="139" t="s">
        <v>60</v>
      </c>
      <c r="AR2920" s="35">
        <v>0</v>
      </c>
    </row>
    <row r="2921" spans="43:44" x14ac:dyDescent="0.25">
      <c r="AQ2921" s="16">
        <v>731</v>
      </c>
      <c r="AR2921" s="35">
        <v>0</v>
      </c>
    </row>
    <row r="2922" spans="43:44" x14ac:dyDescent="0.25">
      <c r="AQ2922" s="136" t="s">
        <v>54</v>
      </c>
      <c r="AR2922" s="35">
        <v>0</v>
      </c>
    </row>
    <row r="2923" spans="43:44" x14ac:dyDescent="0.25">
      <c r="AQ2923" s="138" t="s">
        <v>54</v>
      </c>
      <c r="AR2923" s="35">
        <v>0</v>
      </c>
    </row>
    <row r="2924" spans="43:44" x14ac:dyDescent="0.25">
      <c r="AQ2924" s="139" t="s">
        <v>60</v>
      </c>
      <c r="AR2924" s="35">
        <v>0</v>
      </c>
    </row>
    <row r="2925" spans="43:44" x14ac:dyDescent="0.25">
      <c r="AQ2925" s="16">
        <v>732</v>
      </c>
      <c r="AR2925" s="35">
        <v>0</v>
      </c>
    </row>
    <row r="2926" spans="43:44" x14ac:dyDescent="0.25">
      <c r="AQ2926" s="136" t="s">
        <v>54</v>
      </c>
      <c r="AR2926" s="35">
        <v>0</v>
      </c>
    </row>
    <row r="2927" spans="43:44" x14ac:dyDescent="0.25">
      <c r="AQ2927" s="138" t="s">
        <v>54</v>
      </c>
      <c r="AR2927" s="35">
        <v>0</v>
      </c>
    </row>
    <row r="2928" spans="43:44" x14ac:dyDescent="0.25">
      <c r="AQ2928" s="139" t="s">
        <v>60</v>
      </c>
      <c r="AR2928" s="35">
        <v>0</v>
      </c>
    </row>
    <row r="2929" spans="43:44" x14ac:dyDescent="0.25">
      <c r="AQ2929" s="16">
        <v>733</v>
      </c>
      <c r="AR2929" s="35">
        <v>0</v>
      </c>
    </row>
    <row r="2930" spans="43:44" x14ac:dyDescent="0.25">
      <c r="AQ2930" s="136" t="s">
        <v>54</v>
      </c>
      <c r="AR2930" s="35">
        <v>0</v>
      </c>
    </row>
    <row r="2931" spans="43:44" x14ac:dyDescent="0.25">
      <c r="AQ2931" s="138" t="s">
        <v>54</v>
      </c>
      <c r="AR2931" s="35">
        <v>0</v>
      </c>
    </row>
    <row r="2932" spans="43:44" x14ac:dyDescent="0.25">
      <c r="AQ2932" s="139" t="s">
        <v>60</v>
      </c>
      <c r="AR2932" s="35">
        <v>0</v>
      </c>
    </row>
    <row r="2933" spans="43:44" x14ac:dyDescent="0.25">
      <c r="AQ2933" s="16">
        <v>734</v>
      </c>
      <c r="AR2933" s="35">
        <v>0</v>
      </c>
    </row>
    <row r="2934" spans="43:44" x14ac:dyDescent="0.25">
      <c r="AQ2934" s="136" t="s">
        <v>54</v>
      </c>
      <c r="AR2934" s="35">
        <v>0</v>
      </c>
    </row>
    <row r="2935" spans="43:44" x14ac:dyDescent="0.25">
      <c r="AQ2935" s="138" t="s">
        <v>54</v>
      </c>
      <c r="AR2935" s="35">
        <v>0</v>
      </c>
    </row>
    <row r="2936" spans="43:44" x14ac:dyDescent="0.25">
      <c r="AQ2936" s="139" t="s">
        <v>60</v>
      </c>
      <c r="AR2936" s="35">
        <v>0</v>
      </c>
    </row>
    <row r="2937" spans="43:44" x14ac:dyDescent="0.25">
      <c r="AQ2937" s="16">
        <v>735</v>
      </c>
      <c r="AR2937" s="35">
        <v>0</v>
      </c>
    </row>
    <row r="2938" spans="43:44" x14ac:dyDescent="0.25">
      <c r="AQ2938" s="136" t="s">
        <v>54</v>
      </c>
      <c r="AR2938" s="35">
        <v>0</v>
      </c>
    </row>
    <row r="2939" spans="43:44" x14ac:dyDescent="0.25">
      <c r="AQ2939" s="138" t="s">
        <v>54</v>
      </c>
      <c r="AR2939" s="35">
        <v>0</v>
      </c>
    </row>
    <row r="2940" spans="43:44" x14ac:dyDescent="0.25">
      <c r="AQ2940" s="139" t="s">
        <v>60</v>
      </c>
      <c r="AR2940" s="35">
        <v>0</v>
      </c>
    </row>
    <row r="2941" spans="43:44" x14ac:dyDescent="0.25">
      <c r="AQ2941" s="16">
        <v>736</v>
      </c>
      <c r="AR2941" s="35">
        <v>0</v>
      </c>
    </row>
    <row r="2942" spans="43:44" x14ac:dyDescent="0.25">
      <c r="AQ2942" s="136" t="s">
        <v>54</v>
      </c>
      <c r="AR2942" s="35">
        <v>0</v>
      </c>
    </row>
    <row r="2943" spans="43:44" x14ac:dyDescent="0.25">
      <c r="AQ2943" s="138" t="s">
        <v>54</v>
      </c>
      <c r="AR2943" s="35">
        <v>0</v>
      </c>
    </row>
    <row r="2944" spans="43:44" x14ac:dyDescent="0.25">
      <c r="AQ2944" s="139" t="s">
        <v>60</v>
      </c>
      <c r="AR2944" s="35">
        <v>0</v>
      </c>
    </row>
    <row r="2945" spans="43:44" x14ac:dyDescent="0.25">
      <c r="AQ2945" s="16">
        <v>737</v>
      </c>
      <c r="AR2945" s="35">
        <v>0</v>
      </c>
    </row>
    <row r="2946" spans="43:44" x14ac:dyDescent="0.25">
      <c r="AQ2946" s="136" t="s">
        <v>54</v>
      </c>
      <c r="AR2946" s="35">
        <v>0</v>
      </c>
    </row>
    <row r="2947" spans="43:44" x14ac:dyDescent="0.25">
      <c r="AQ2947" s="138" t="s">
        <v>54</v>
      </c>
      <c r="AR2947" s="35">
        <v>0</v>
      </c>
    </row>
    <row r="2948" spans="43:44" x14ac:dyDescent="0.25">
      <c r="AQ2948" s="139" t="s">
        <v>60</v>
      </c>
      <c r="AR2948" s="35">
        <v>0</v>
      </c>
    </row>
    <row r="2949" spans="43:44" x14ac:dyDescent="0.25">
      <c r="AQ2949" s="16">
        <v>738</v>
      </c>
      <c r="AR2949" s="35">
        <v>0</v>
      </c>
    </row>
    <row r="2950" spans="43:44" x14ac:dyDescent="0.25">
      <c r="AQ2950" s="136" t="s">
        <v>54</v>
      </c>
      <c r="AR2950" s="35">
        <v>0</v>
      </c>
    </row>
    <row r="2951" spans="43:44" x14ac:dyDescent="0.25">
      <c r="AQ2951" s="138" t="s">
        <v>54</v>
      </c>
      <c r="AR2951" s="35">
        <v>0</v>
      </c>
    </row>
    <row r="2952" spans="43:44" x14ac:dyDescent="0.25">
      <c r="AQ2952" s="139" t="s">
        <v>60</v>
      </c>
      <c r="AR2952" s="35">
        <v>0</v>
      </c>
    </row>
    <row r="2953" spans="43:44" x14ac:dyDescent="0.25">
      <c r="AQ2953" s="16">
        <v>739</v>
      </c>
      <c r="AR2953" s="35">
        <v>0</v>
      </c>
    </row>
    <row r="2954" spans="43:44" x14ac:dyDescent="0.25">
      <c r="AQ2954" s="136" t="s">
        <v>54</v>
      </c>
      <c r="AR2954" s="35">
        <v>0</v>
      </c>
    </row>
    <row r="2955" spans="43:44" x14ac:dyDescent="0.25">
      <c r="AQ2955" s="138" t="s">
        <v>54</v>
      </c>
      <c r="AR2955" s="35">
        <v>0</v>
      </c>
    </row>
    <row r="2956" spans="43:44" x14ac:dyDescent="0.25">
      <c r="AQ2956" s="139" t="s">
        <v>60</v>
      </c>
      <c r="AR2956" s="35">
        <v>0</v>
      </c>
    </row>
    <row r="2957" spans="43:44" x14ac:dyDescent="0.25">
      <c r="AQ2957" s="16">
        <v>740</v>
      </c>
      <c r="AR2957" s="35">
        <v>0</v>
      </c>
    </row>
    <row r="2958" spans="43:44" x14ac:dyDescent="0.25">
      <c r="AQ2958" s="136" t="s">
        <v>54</v>
      </c>
      <c r="AR2958" s="35">
        <v>0</v>
      </c>
    </row>
    <row r="2959" spans="43:44" x14ac:dyDescent="0.25">
      <c r="AQ2959" s="138" t="s">
        <v>54</v>
      </c>
      <c r="AR2959" s="35">
        <v>0</v>
      </c>
    </row>
    <row r="2960" spans="43:44" x14ac:dyDescent="0.25">
      <c r="AQ2960" s="139" t="s">
        <v>60</v>
      </c>
      <c r="AR2960" s="35">
        <v>0</v>
      </c>
    </row>
    <row r="2961" spans="43:44" x14ac:dyDescent="0.25">
      <c r="AQ2961" s="16">
        <v>741</v>
      </c>
      <c r="AR2961" s="35">
        <v>0</v>
      </c>
    </row>
    <row r="2962" spans="43:44" x14ac:dyDescent="0.25">
      <c r="AQ2962" s="136" t="s">
        <v>54</v>
      </c>
      <c r="AR2962" s="35">
        <v>0</v>
      </c>
    </row>
    <row r="2963" spans="43:44" x14ac:dyDescent="0.25">
      <c r="AQ2963" s="138" t="s">
        <v>54</v>
      </c>
      <c r="AR2963" s="35">
        <v>0</v>
      </c>
    </row>
    <row r="2964" spans="43:44" x14ac:dyDescent="0.25">
      <c r="AQ2964" s="139" t="s">
        <v>60</v>
      </c>
      <c r="AR2964" s="35">
        <v>0</v>
      </c>
    </row>
    <row r="2965" spans="43:44" x14ac:dyDescent="0.25">
      <c r="AQ2965" s="16">
        <v>742</v>
      </c>
      <c r="AR2965" s="35">
        <v>0</v>
      </c>
    </row>
    <row r="2966" spans="43:44" x14ac:dyDescent="0.25">
      <c r="AQ2966" s="136" t="s">
        <v>54</v>
      </c>
      <c r="AR2966" s="35">
        <v>0</v>
      </c>
    </row>
    <row r="2967" spans="43:44" x14ac:dyDescent="0.25">
      <c r="AQ2967" s="138" t="s">
        <v>54</v>
      </c>
      <c r="AR2967" s="35">
        <v>0</v>
      </c>
    </row>
    <row r="2968" spans="43:44" x14ac:dyDescent="0.25">
      <c r="AQ2968" s="139" t="s">
        <v>60</v>
      </c>
      <c r="AR2968" s="35">
        <v>0</v>
      </c>
    </row>
    <row r="2969" spans="43:44" x14ac:dyDescent="0.25">
      <c r="AQ2969" s="16">
        <v>743</v>
      </c>
      <c r="AR2969" s="35">
        <v>0</v>
      </c>
    </row>
    <row r="2970" spans="43:44" x14ac:dyDescent="0.25">
      <c r="AQ2970" s="136" t="s">
        <v>54</v>
      </c>
      <c r="AR2970" s="35">
        <v>0</v>
      </c>
    </row>
    <row r="2971" spans="43:44" x14ac:dyDescent="0.25">
      <c r="AQ2971" s="138" t="s">
        <v>54</v>
      </c>
      <c r="AR2971" s="35">
        <v>0</v>
      </c>
    </row>
    <row r="2972" spans="43:44" x14ac:dyDescent="0.25">
      <c r="AQ2972" s="139" t="s">
        <v>60</v>
      </c>
      <c r="AR2972" s="35">
        <v>0</v>
      </c>
    </row>
    <row r="2973" spans="43:44" x14ac:dyDescent="0.25">
      <c r="AQ2973" s="16">
        <v>744</v>
      </c>
      <c r="AR2973" s="35">
        <v>0</v>
      </c>
    </row>
    <row r="2974" spans="43:44" x14ac:dyDescent="0.25">
      <c r="AQ2974" s="136" t="s">
        <v>54</v>
      </c>
      <c r="AR2974" s="35">
        <v>0</v>
      </c>
    </row>
    <row r="2975" spans="43:44" x14ac:dyDescent="0.25">
      <c r="AQ2975" s="138" t="s">
        <v>54</v>
      </c>
      <c r="AR2975" s="35">
        <v>0</v>
      </c>
    </row>
    <row r="2976" spans="43:44" x14ac:dyDescent="0.25">
      <c r="AQ2976" s="139" t="s">
        <v>60</v>
      </c>
      <c r="AR2976" s="35">
        <v>0</v>
      </c>
    </row>
    <row r="2977" spans="43:44" x14ac:dyDescent="0.25">
      <c r="AQ2977" s="16">
        <v>745</v>
      </c>
      <c r="AR2977" s="35">
        <v>0</v>
      </c>
    </row>
    <row r="2978" spans="43:44" x14ac:dyDescent="0.25">
      <c r="AQ2978" s="136" t="s">
        <v>54</v>
      </c>
      <c r="AR2978" s="35">
        <v>0</v>
      </c>
    </row>
    <row r="2979" spans="43:44" x14ac:dyDescent="0.25">
      <c r="AQ2979" s="138" t="s">
        <v>54</v>
      </c>
      <c r="AR2979" s="35">
        <v>0</v>
      </c>
    </row>
    <row r="2980" spans="43:44" x14ac:dyDescent="0.25">
      <c r="AQ2980" s="139" t="s">
        <v>60</v>
      </c>
      <c r="AR2980" s="35">
        <v>0</v>
      </c>
    </row>
    <row r="2981" spans="43:44" x14ac:dyDescent="0.25">
      <c r="AQ2981" s="16">
        <v>746</v>
      </c>
      <c r="AR2981" s="35">
        <v>0</v>
      </c>
    </row>
    <row r="2982" spans="43:44" x14ac:dyDescent="0.25">
      <c r="AQ2982" s="136" t="s">
        <v>54</v>
      </c>
      <c r="AR2982" s="35">
        <v>0</v>
      </c>
    </row>
    <row r="2983" spans="43:44" x14ac:dyDescent="0.25">
      <c r="AQ2983" s="138" t="s">
        <v>54</v>
      </c>
      <c r="AR2983" s="35">
        <v>0</v>
      </c>
    </row>
    <row r="2984" spans="43:44" x14ac:dyDescent="0.25">
      <c r="AQ2984" s="139" t="s">
        <v>60</v>
      </c>
      <c r="AR2984" s="35">
        <v>0</v>
      </c>
    </row>
    <row r="2985" spans="43:44" x14ac:dyDescent="0.25">
      <c r="AQ2985" s="16">
        <v>747</v>
      </c>
      <c r="AR2985" s="35">
        <v>0</v>
      </c>
    </row>
    <row r="2986" spans="43:44" x14ac:dyDescent="0.25">
      <c r="AQ2986" s="136" t="s">
        <v>54</v>
      </c>
      <c r="AR2986" s="35">
        <v>0</v>
      </c>
    </row>
    <row r="2987" spans="43:44" x14ac:dyDescent="0.25">
      <c r="AQ2987" s="138" t="s">
        <v>54</v>
      </c>
      <c r="AR2987" s="35">
        <v>0</v>
      </c>
    </row>
    <row r="2988" spans="43:44" x14ac:dyDescent="0.25">
      <c r="AQ2988" s="139" t="s">
        <v>60</v>
      </c>
      <c r="AR2988" s="35">
        <v>0</v>
      </c>
    </row>
    <row r="2989" spans="43:44" x14ac:dyDescent="0.25">
      <c r="AQ2989" s="16">
        <v>748</v>
      </c>
      <c r="AR2989" s="35">
        <v>0</v>
      </c>
    </row>
    <row r="2990" spans="43:44" x14ac:dyDescent="0.25">
      <c r="AQ2990" s="136" t="s">
        <v>54</v>
      </c>
      <c r="AR2990" s="35">
        <v>0</v>
      </c>
    </row>
    <row r="2991" spans="43:44" x14ac:dyDescent="0.25">
      <c r="AQ2991" s="138" t="s">
        <v>54</v>
      </c>
      <c r="AR2991" s="35">
        <v>0</v>
      </c>
    </row>
    <row r="2992" spans="43:44" x14ac:dyDescent="0.25">
      <c r="AQ2992" s="139" t="s">
        <v>60</v>
      </c>
      <c r="AR2992" s="35">
        <v>0</v>
      </c>
    </row>
    <row r="2993" spans="43:44" x14ac:dyDescent="0.25">
      <c r="AQ2993" s="16">
        <v>749</v>
      </c>
      <c r="AR2993" s="35">
        <v>0</v>
      </c>
    </row>
    <row r="2994" spans="43:44" x14ac:dyDescent="0.25">
      <c r="AQ2994" s="136" t="s">
        <v>54</v>
      </c>
      <c r="AR2994" s="35">
        <v>0</v>
      </c>
    </row>
    <row r="2995" spans="43:44" x14ac:dyDescent="0.25">
      <c r="AQ2995" s="138" t="s">
        <v>54</v>
      </c>
      <c r="AR2995" s="35">
        <v>0</v>
      </c>
    </row>
    <row r="2996" spans="43:44" x14ac:dyDescent="0.25">
      <c r="AQ2996" s="139" t="s">
        <v>60</v>
      </c>
      <c r="AR2996" s="35">
        <v>0</v>
      </c>
    </row>
    <row r="2997" spans="43:44" x14ac:dyDescent="0.25">
      <c r="AQ2997" s="16">
        <v>750</v>
      </c>
      <c r="AR2997" s="35">
        <v>0</v>
      </c>
    </row>
    <row r="2998" spans="43:44" x14ac:dyDescent="0.25">
      <c r="AQ2998" s="136" t="s">
        <v>54</v>
      </c>
      <c r="AR2998" s="35">
        <v>0</v>
      </c>
    </row>
    <row r="2999" spans="43:44" x14ac:dyDescent="0.25">
      <c r="AQ2999" s="138" t="s">
        <v>54</v>
      </c>
      <c r="AR2999" s="35">
        <v>0</v>
      </c>
    </row>
    <row r="3000" spans="43:44" x14ac:dyDescent="0.25">
      <c r="AQ3000" s="139" t="s">
        <v>60</v>
      </c>
      <c r="AR3000" s="35">
        <v>0</v>
      </c>
    </row>
    <row r="3001" spans="43:44" x14ac:dyDescent="0.25">
      <c r="AQ3001" s="16">
        <v>751</v>
      </c>
      <c r="AR3001" s="35">
        <v>0</v>
      </c>
    </row>
    <row r="3002" spans="43:44" x14ac:dyDescent="0.25">
      <c r="AQ3002" s="136" t="s">
        <v>54</v>
      </c>
      <c r="AR3002" s="35">
        <v>0</v>
      </c>
    </row>
    <row r="3003" spans="43:44" x14ac:dyDescent="0.25">
      <c r="AQ3003" s="138" t="s">
        <v>54</v>
      </c>
      <c r="AR3003" s="35">
        <v>0</v>
      </c>
    </row>
    <row r="3004" spans="43:44" x14ac:dyDescent="0.25">
      <c r="AQ3004" s="139" t="s">
        <v>60</v>
      </c>
      <c r="AR3004" s="35">
        <v>0</v>
      </c>
    </row>
    <row r="3005" spans="43:44" x14ac:dyDescent="0.25">
      <c r="AQ3005" s="16">
        <v>752</v>
      </c>
      <c r="AR3005" s="35">
        <v>0</v>
      </c>
    </row>
    <row r="3006" spans="43:44" x14ac:dyDescent="0.25">
      <c r="AQ3006" s="136" t="s">
        <v>54</v>
      </c>
      <c r="AR3006" s="35">
        <v>0</v>
      </c>
    </row>
    <row r="3007" spans="43:44" x14ac:dyDescent="0.25">
      <c r="AQ3007" s="138" t="s">
        <v>54</v>
      </c>
      <c r="AR3007" s="35">
        <v>0</v>
      </c>
    </row>
    <row r="3008" spans="43:44" x14ac:dyDescent="0.25">
      <c r="AQ3008" s="139" t="s">
        <v>60</v>
      </c>
      <c r="AR3008" s="35">
        <v>0</v>
      </c>
    </row>
    <row r="3009" spans="43:44" x14ac:dyDescent="0.25">
      <c r="AQ3009" s="16">
        <v>753</v>
      </c>
      <c r="AR3009" s="35">
        <v>0</v>
      </c>
    </row>
    <row r="3010" spans="43:44" x14ac:dyDescent="0.25">
      <c r="AQ3010" s="136" t="s">
        <v>54</v>
      </c>
      <c r="AR3010" s="35">
        <v>0</v>
      </c>
    </row>
    <row r="3011" spans="43:44" x14ac:dyDescent="0.25">
      <c r="AQ3011" s="138" t="s">
        <v>54</v>
      </c>
      <c r="AR3011" s="35">
        <v>0</v>
      </c>
    </row>
    <row r="3012" spans="43:44" x14ac:dyDescent="0.25">
      <c r="AQ3012" s="139" t="s">
        <v>60</v>
      </c>
      <c r="AR3012" s="35">
        <v>0</v>
      </c>
    </row>
    <row r="3013" spans="43:44" x14ac:dyDescent="0.25">
      <c r="AQ3013" s="16">
        <v>754</v>
      </c>
      <c r="AR3013" s="35">
        <v>0</v>
      </c>
    </row>
    <row r="3014" spans="43:44" x14ac:dyDescent="0.25">
      <c r="AQ3014" s="136" t="s">
        <v>54</v>
      </c>
      <c r="AR3014" s="35">
        <v>0</v>
      </c>
    </row>
    <row r="3015" spans="43:44" x14ac:dyDescent="0.25">
      <c r="AQ3015" s="138" t="s">
        <v>54</v>
      </c>
      <c r="AR3015" s="35">
        <v>0</v>
      </c>
    </row>
    <row r="3016" spans="43:44" x14ac:dyDescent="0.25">
      <c r="AQ3016" s="139" t="s">
        <v>60</v>
      </c>
      <c r="AR3016" s="35">
        <v>0</v>
      </c>
    </row>
    <row r="3017" spans="43:44" x14ac:dyDescent="0.25">
      <c r="AQ3017" s="16">
        <v>755</v>
      </c>
      <c r="AR3017" s="35">
        <v>0</v>
      </c>
    </row>
    <row r="3018" spans="43:44" x14ac:dyDescent="0.25">
      <c r="AQ3018" s="136" t="s">
        <v>54</v>
      </c>
      <c r="AR3018" s="35">
        <v>0</v>
      </c>
    </row>
    <row r="3019" spans="43:44" x14ac:dyDescent="0.25">
      <c r="AQ3019" s="138" t="s">
        <v>54</v>
      </c>
      <c r="AR3019" s="35">
        <v>0</v>
      </c>
    </row>
    <row r="3020" spans="43:44" x14ac:dyDescent="0.25">
      <c r="AQ3020" s="139" t="s">
        <v>60</v>
      </c>
      <c r="AR3020" s="35">
        <v>0</v>
      </c>
    </row>
    <row r="3021" spans="43:44" x14ac:dyDescent="0.25">
      <c r="AQ3021" s="16">
        <v>756</v>
      </c>
      <c r="AR3021" s="35">
        <v>0</v>
      </c>
    </row>
    <row r="3022" spans="43:44" x14ac:dyDescent="0.25">
      <c r="AQ3022" s="136" t="s">
        <v>54</v>
      </c>
      <c r="AR3022" s="35">
        <v>0</v>
      </c>
    </row>
    <row r="3023" spans="43:44" x14ac:dyDescent="0.25">
      <c r="AQ3023" s="138" t="s">
        <v>54</v>
      </c>
      <c r="AR3023" s="35">
        <v>0</v>
      </c>
    </row>
    <row r="3024" spans="43:44" x14ac:dyDescent="0.25">
      <c r="AQ3024" s="139" t="s">
        <v>60</v>
      </c>
      <c r="AR3024" s="35">
        <v>0</v>
      </c>
    </row>
    <row r="3025" spans="43:44" x14ac:dyDescent="0.25">
      <c r="AQ3025" s="16">
        <v>757</v>
      </c>
      <c r="AR3025" s="35">
        <v>0</v>
      </c>
    </row>
    <row r="3026" spans="43:44" x14ac:dyDescent="0.25">
      <c r="AQ3026" s="136" t="s">
        <v>54</v>
      </c>
      <c r="AR3026" s="35">
        <v>0</v>
      </c>
    </row>
    <row r="3027" spans="43:44" x14ac:dyDescent="0.25">
      <c r="AQ3027" s="138" t="s">
        <v>54</v>
      </c>
      <c r="AR3027" s="35">
        <v>0</v>
      </c>
    </row>
    <row r="3028" spans="43:44" x14ac:dyDescent="0.25">
      <c r="AQ3028" s="139" t="s">
        <v>60</v>
      </c>
      <c r="AR3028" s="35">
        <v>0</v>
      </c>
    </row>
    <row r="3029" spans="43:44" x14ac:dyDescent="0.25">
      <c r="AQ3029" s="16">
        <v>758</v>
      </c>
      <c r="AR3029" s="35">
        <v>0</v>
      </c>
    </row>
    <row r="3030" spans="43:44" x14ac:dyDescent="0.25">
      <c r="AQ3030" s="136" t="s">
        <v>54</v>
      </c>
      <c r="AR3030" s="35">
        <v>0</v>
      </c>
    </row>
    <row r="3031" spans="43:44" x14ac:dyDescent="0.25">
      <c r="AQ3031" s="138" t="s">
        <v>54</v>
      </c>
      <c r="AR3031" s="35">
        <v>0</v>
      </c>
    </row>
    <row r="3032" spans="43:44" x14ac:dyDescent="0.25">
      <c r="AQ3032" s="139" t="s">
        <v>60</v>
      </c>
      <c r="AR3032" s="35">
        <v>0</v>
      </c>
    </row>
    <row r="3033" spans="43:44" x14ac:dyDescent="0.25">
      <c r="AQ3033" s="16">
        <v>759</v>
      </c>
      <c r="AR3033" s="35">
        <v>0</v>
      </c>
    </row>
    <row r="3034" spans="43:44" x14ac:dyDescent="0.25">
      <c r="AQ3034" s="136" t="s">
        <v>54</v>
      </c>
      <c r="AR3034" s="35">
        <v>0</v>
      </c>
    </row>
    <row r="3035" spans="43:44" x14ac:dyDescent="0.25">
      <c r="AQ3035" s="138" t="s">
        <v>54</v>
      </c>
      <c r="AR3035" s="35">
        <v>0</v>
      </c>
    </row>
    <row r="3036" spans="43:44" x14ac:dyDescent="0.25">
      <c r="AQ3036" s="139" t="s">
        <v>60</v>
      </c>
      <c r="AR3036" s="35">
        <v>0</v>
      </c>
    </row>
    <row r="3037" spans="43:44" x14ac:dyDescent="0.25">
      <c r="AQ3037" s="16">
        <v>760</v>
      </c>
      <c r="AR3037" s="35">
        <v>0</v>
      </c>
    </row>
    <row r="3038" spans="43:44" x14ac:dyDescent="0.25">
      <c r="AQ3038" s="136" t="s">
        <v>54</v>
      </c>
      <c r="AR3038" s="35">
        <v>0</v>
      </c>
    </row>
    <row r="3039" spans="43:44" x14ac:dyDescent="0.25">
      <c r="AQ3039" s="138" t="s">
        <v>54</v>
      </c>
      <c r="AR3039" s="35">
        <v>0</v>
      </c>
    </row>
    <row r="3040" spans="43:44" x14ac:dyDescent="0.25">
      <c r="AQ3040" s="139" t="s">
        <v>60</v>
      </c>
      <c r="AR3040" s="35">
        <v>0</v>
      </c>
    </row>
    <row r="3041" spans="43:44" x14ac:dyDescent="0.25">
      <c r="AQ3041" s="16">
        <v>761</v>
      </c>
      <c r="AR3041" s="35">
        <v>0</v>
      </c>
    </row>
    <row r="3042" spans="43:44" x14ac:dyDescent="0.25">
      <c r="AQ3042" s="136" t="s">
        <v>54</v>
      </c>
      <c r="AR3042" s="35">
        <v>0</v>
      </c>
    </row>
    <row r="3043" spans="43:44" x14ac:dyDescent="0.25">
      <c r="AQ3043" s="138" t="s">
        <v>54</v>
      </c>
      <c r="AR3043" s="35">
        <v>0</v>
      </c>
    </row>
    <row r="3044" spans="43:44" x14ac:dyDescent="0.25">
      <c r="AQ3044" s="139" t="s">
        <v>60</v>
      </c>
      <c r="AR3044" s="35">
        <v>0</v>
      </c>
    </row>
    <row r="3045" spans="43:44" x14ac:dyDescent="0.25">
      <c r="AQ3045" s="16">
        <v>762</v>
      </c>
      <c r="AR3045" s="35">
        <v>0</v>
      </c>
    </row>
    <row r="3046" spans="43:44" x14ac:dyDescent="0.25">
      <c r="AQ3046" s="136" t="s">
        <v>54</v>
      </c>
      <c r="AR3046" s="35">
        <v>0</v>
      </c>
    </row>
    <row r="3047" spans="43:44" x14ac:dyDescent="0.25">
      <c r="AQ3047" s="138" t="s">
        <v>54</v>
      </c>
      <c r="AR3047" s="35">
        <v>0</v>
      </c>
    </row>
    <row r="3048" spans="43:44" x14ac:dyDescent="0.25">
      <c r="AQ3048" s="139" t="s">
        <v>60</v>
      </c>
      <c r="AR3048" s="35">
        <v>0</v>
      </c>
    </row>
    <row r="3049" spans="43:44" x14ac:dyDescent="0.25">
      <c r="AQ3049" s="16">
        <v>763</v>
      </c>
      <c r="AR3049" s="35">
        <v>0</v>
      </c>
    </row>
    <row r="3050" spans="43:44" x14ac:dyDescent="0.25">
      <c r="AQ3050" s="136" t="s">
        <v>54</v>
      </c>
      <c r="AR3050" s="35">
        <v>0</v>
      </c>
    </row>
    <row r="3051" spans="43:44" x14ac:dyDescent="0.25">
      <c r="AQ3051" s="138" t="s">
        <v>54</v>
      </c>
      <c r="AR3051" s="35">
        <v>0</v>
      </c>
    </row>
    <row r="3052" spans="43:44" x14ac:dyDescent="0.25">
      <c r="AQ3052" s="139" t="s">
        <v>60</v>
      </c>
      <c r="AR3052" s="35">
        <v>0</v>
      </c>
    </row>
    <row r="3053" spans="43:44" x14ac:dyDescent="0.25">
      <c r="AQ3053" s="16">
        <v>764</v>
      </c>
      <c r="AR3053" s="35">
        <v>0</v>
      </c>
    </row>
    <row r="3054" spans="43:44" x14ac:dyDescent="0.25">
      <c r="AQ3054" s="136" t="s">
        <v>54</v>
      </c>
      <c r="AR3054" s="35">
        <v>0</v>
      </c>
    </row>
    <row r="3055" spans="43:44" x14ac:dyDescent="0.25">
      <c r="AQ3055" s="138" t="s">
        <v>54</v>
      </c>
      <c r="AR3055" s="35">
        <v>0</v>
      </c>
    </row>
    <row r="3056" spans="43:44" x14ac:dyDescent="0.25">
      <c r="AQ3056" s="139" t="s">
        <v>60</v>
      </c>
      <c r="AR3056" s="35">
        <v>0</v>
      </c>
    </row>
    <row r="3057" spans="43:44" x14ac:dyDescent="0.25">
      <c r="AQ3057" s="16">
        <v>765</v>
      </c>
      <c r="AR3057" s="35">
        <v>0</v>
      </c>
    </row>
    <row r="3058" spans="43:44" x14ac:dyDescent="0.25">
      <c r="AQ3058" s="136" t="s">
        <v>54</v>
      </c>
      <c r="AR3058" s="35">
        <v>0</v>
      </c>
    </row>
    <row r="3059" spans="43:44" x14ac:dyDescent="0.25">
      <c r="AQ3059" s="138" t="s">
        <v>54</v>
      </c>
      <c r="AR3059" s="35">
        <v>0</v>
      </c>
    </row>
    <row r="3060" spans="43:44" x14ac:dyDescent="0.25">
      <c r="AQ3060" s="139" t="s">
        <v>60</v>
      </c>
      <c r="AR3060" s="35">
        <v>0</v>
      </c>
    </row>
    <row r="3061" spans="43:44" x14ac:dyDescent="0.25">
      <c r="AQ3061" s="16">
        <v>766</v>
      </c>
      <c r="AR3061" s="35">
        <v>0</v>
      </c>
    </row>
    <row r="3062" spans="43:44" x14ac:dyDescent="0.25">
      <c r="AQ3062" s="136" t="s">
        <v>54</v>
      </c>
      <c r="AR3062" s="35">
        <v>0</v>
      </c>
    </row>
    <row r="3063" spans="43:44" x14ac:dyDescent="0.25">
      <c r="AQ3063" s="138" t="s">
        <v>54</v>
      </c>
      <c r="AR3063" s="35">
        <v>0</v>
      </c>
    </row>
    <row r="3064" spans="43:44" x14ac:dyDescent="0.25">
      <c r="AQ3064" s="139" t="s">
        <v>60</v>
      </c>
      <c r="AR3064" s="35">
        <v>0</v>
      </c>
    </row>
    <row r="3065" spans="43:44" x14ac:dyDescent="0.25">
      <c r="AQ3065" s="16">
        <v>767</v>
      </c>
      <c r="AR3065" s="35">
        <v>0</v>
      </c>
    </row>
    <row r="3066" spans="43:44" x14ac:dyDescent="0.25">
      <c r="AQ3066" s="136" t="s">
        <v>54</v>
      </c>
      <c r="AR3066" s="35">
        <v>0</v>
      </c>
    </row>
    <row r="3067" spans="43:44" x14ac:dyDescent="0.25">
      <c r="AQ3067" s="138" t="s">
        <v>54</v>
      </c>
      <c r="AR3067" s="35">
        <v>0</v>
      </c>
    </row>
    <row r="3068" spans="43:44" x14ac:dyDescent="0.25">
      <c r="AQ3068" s="139" t="s">
        <v>60</v>
      </c>
      <c r="AR3068" s="35">
        <v>0</v>
      </c>
    </row>
    <row r="3069" spans="43:44" x14ac:dyDescent="0.25">
      <c r="AQ3069" s="16">
        <v>768</v>
      </c>
      <c r="AR3069" s="35">
        <v>0</v>
      </c>
    </row>
    <row r="3070" spans="43:44" x14ac:dyDescent="0.25">
      <c r="AQ3070" s="136" t="s">
        <v>54</v>
      </c>
      <c r="AR3070" s="35">
        <v>0</v>
      </c>
    </row>
    <row r="3071" spans="43:44" x14ac:dyDescent="0.25">
      <c r="AQ3071" s="138" t="s">
        <v>54</v>
      </c>
      <c r="AR3071" s="35">
        <v>0</v>
      </c>
    </row>
    <row r="3072" spans="43:44" x14ac:dyDescent="0.25">
      <c r="AQ3072" s="139" t="s">
        <v>60</v>
      </c>
      <c r="AR3072" s="35">
        <v>0</v>
      </c>
    </row>
    <row r="3073" spans="43:44" x14ac:dyDescent="0.25">
      <c r="AQ3073" s="16">
        <v>769</v>
      </c>
      <c r="AR3073" s="35">
        <v>0</v>
      </c>
    </row>
    <row r="3074" spans="43:44" x14ac:dyDescent="0.25">
      <c r="AQ3074" s="136" t="s">
        <v>54</v>
      </c>
      <c r="AR3074" s="35">
        <v>0</v>
      </c>
    </row>
    <row r="3075" spans="43:44" x14ac:dyDescent="0.25">
      <c r="AQ3075" s="138" t="s">
        <v>54</v>
      </c>
      <c r="AR3075" s="35">
        <v>0</v>
      </c>
    </row>
    <row r="3076" spans="43:44" x14ac:dyDescent="0.25">
      <c r="AQ3076" s="139" t="s">
        <v>60</v>
      </c>
      <c r="AR3076" s="35">
        <v>0</v>
      </c>
    </row>
    <row r="3077" spans="43:44" x14ac:dyDescent="0.25">
      <c r="AQ3077" s="16">
        <v>770</v>
      </c>
      <c r="AR3077" s="35">
        <v>0</v>
      </c>
    </row>
    <row r="3078" spans="43:44" x14ac:dyDescent="0.25">
      <c r="AQ3078" s="136" t="s">
        <v>54</v>
      </c>
      <c r="AR3078" s="35">
        <v>0</v>
      </c>
    </row>
    <row r="3079" spans="43:44" x14ac:dyDescent="0.25">
      <c r="AQ3079" s="138" t="s">
        <v>54</v>
      </c>
      <c r="AR3079" s="35">
        <v>0</v>
      </c>
    </row>
    <row r="3080" spans="43:44" x14ac:dyDescent="0.25">
      <c r="AQ3080" s="139" t="s">
        <v>60</v>
      </c>
      <c r="AR3080" s="35">
        <v>0</v>
      </c>
    </row>
    <row r="3081" spans="43:44" x14ac:dyDescent="0.25">
      <c r="AQ3081" s="16">
        <v>771</v>
      </c>
      <c r="AR3081" s="35">
        <v>0</v>
      </c>
    </row>
    <row r="3082" spans="43:44" x14ac:dyDescent="0.25">
      <c r="AQ3082" s="136" t="s">
        <v>54</v>
      </c>
      <c r="AR3082" s="35">
        <v>0</v>
      </c>
    </row>
    <row r="3083" spans="43:44" x14ac:dyDescent="0.25">
      <c r="AQ3083" s="138" t="s">
        <v>54</v>
      </c>
      <c r="AR3083" s="35">
        <v>0</v>
      </c>
    </row>
    <row r="3084" spans="43:44" x14ac:dyDescent="0.25">
      <c r="AQ3084" s="139" t="s">
        <v>60</v>
      </c>
      <c r="AR3084" s="35">
        <v>0</v>
      </c>
    </row>
    <row r="3085" spans="43:44" x14ac:dyDescent="0.25">
      <c r="AQ3085" s="16">
        <v>772</v>
      </c>
      <c r="AR3085" s="35">
        <v>0</v>
      </c>
    </row>
    <row r="3086" spans="43:44" x14ac:dyDescent="0.25">
      <c r="AQ3086" s="136" t="s">
        <v>54</v>
      </c>
      <c r="AR3086" s="35">
        <v>0</v>
      </c>
    </row>
    <row r="3087" spans="43:44" x14ac:dyDescent="0.25">
      <c r="AQ3087" s="138" t="s">
        <v>54</v>
      </c>
      <c r="AR3087" s="35">
        <v>0</v>
      </c>
    </row>
    <row r="3088" spans="43:44" x14ac:dyDescent="0.25">
      <c r="AQ3088" s="139" t="s">
        <v>60</v>
      </c>
      <c r="AR3088" s="35">
        <v>0</v>
      </c>
    </row>
    <row r="3089" spans="43:44" x14ac:dyDescent="0.25">
      <c r="AQ3089" s="16">
        <v>773</v>
      </c>
      <c r="AR3089" s="35">
        <v>0</v>
      </c>
    </row>
    <row r="3090" spans="43:44" x14ac:dyDescent="0.25">
      <c r="AQ3090" s="136" t="s">
        <v>54</v>
      </c>
      <c r="AR3090" s="35">
        <v>0</v>
      </c>
    </row>
    <row r="3091" spans="43:44" x14ac:dyDescent="0.25">
      <c r="AQ3091" s="138" t="s">
        <v>54</v>
      </c>
      <c r="AR3091" s="35">
        <v>0</v>
      </c>
    </row>
    <row r="3092" spans="43:44" x14ac:dyDescent="0.25">
      <c r="AQ3092" s="139" t="s">
        <v>60</v>
      </c>
      <c r="AR3092" s="35">
        <v>0</v>
      </c>
    </row>
    <row r="3093" spans="43:44" x14ac:dyDescent="0.25">
      <c r="AQ3093" s="16">
        <v>774</v>
      </c>
      <c r="AR3093" s="35">
        <v>0</v>
      </c>
    </row>
    <row r="3094" spans="43:44" x14ac:dyDescent="0.25">
      <c r="AQ3094" s="136" t="s">
        <v>54</v>
      </c>
      <c r="AR3094" s="35">
        <v>0</v>
      </c>
    </row>
    <row r="3095" spans="43:44" x14ac:dyDescent="0.25">
      <c r="AQ3095" s="138" t="s">
        <v>54</v>
      </c>
      <c r="AR3095" s="35">
        <v>0</v>
      </c>
    </row>
    <row r="3096" spans="43:44" x14ac:dyDescent="0.25">
      <c r="AQ3096" s="139" t="s">
        <v>60</v>
      </c>
      <c r="AR3096" s="35">
        <v>0</v>
      </c>
    </row>
    <row r="3097" spans="43:44" x14ac:dyDescent="0.25">
      <c r="AQ3097" s="16">
        <v>775</v>
      </c>
      <c r="AR3097" s="35">
        <v>0</v>
      </c>
    </row>
    <row r="3098" spans="43:44" x14ac:dyDescent="0.25">
      <c r="AQ3098" s="136" t="s">
        <v>54</v>
      </c>
      <c r="AR3098" s="35">
        <v>0</v>
      </c>
    </row>
    <row r="3099" spans="43:44" x14ac:dyDescent="0.25">
      <c r="AQ3099" s="138" t="s">
        <v>54</v>
      </c>
      <c r="AR3099" s="35">
        <v>0</v>
      </c>
    </row>
    <row r="3100" spans="43:44" x14ac:dyDescent="0.25">
      <c r="AQ3100" s="139" t="s">
        <v>60</v>
      </c>
      <c r="AR3100" s="35">
        <v>0</v>
      </c>
    </row>
    <row r="3101" spans="43:44" x14ac:dyDescent="0.25">
      <c r="AQ3101" s="16">
        <v>776</v>
      </c>
      <c r="AR3101" s="35">
        <v>0</v>
      </c>
    </row>
    <row r="3102" spans="43:44" x14ac:dyDescent="0.25">
      <c r="AQ3102" s="136" t="s">
        <v>54</v>
      </c>
      <c r="AR3102" s="35">
        <v>0</v>
      </c>
    </row>
    <row r="3103" spans="43:44" x14ac:dyDescent="0.25">
      <c r="AQ3103" s="138" t="s">
        <v>54</v>
      </c>
      <c r="AR3103" s="35">
        <v>0</v>
      </c>
    </row>
    <row r="3104" spans="43:44" x14ac:dyDescent="0.25">
      <c r="AQ3104" s="139" t="s">
        <v>60</v>
      </c>
      <c r="AR3104" s="35">
        <v>0</v>
      </c>
    </row>
    <row r="3105" spans="43:44" x14ac:dyDescent="0.25">
      <c r="AQ3105" s="16">
        <v>777</v>
      </c>
      <c r="AR3105" s="35">
        <v>0</v>
      </c>
    </row>
    <row r="3106" spans="43:44" x14ac:dyDescent="0.25">
      <c r="AQ3106" s="136" t="s">
        <v>54</v>
      </c>
      <c r="AR3106" s="35">
        <v>0</v>
      </c>
    </row>
    <row r="3107" spans="43:44" x14ac:dyDescent="0.25">
      <c r="AQ3107" s="138" t="s">
        <v>54</v>
      </c>
      <c r="AR3107" s="35">
        <v>0</v>
      </c>
    </row>
    <row r="3108" spans="43:44" x14ac:dyDescent="0.25">
      <c r="AQ3108" s="139" t="s">
        <v>60</v>
      </c>
      <c r="AR3108" s="35">
        <v>0</v>
      </c>
    </row>
    <row r="3109" spans="43:44" x14ac:dyDescent="0.25">
      <c r="AQ3109" s="16">
        <v>778</v>
      </c>
      <c r="AR3109" s="35">
        <v>0</v>
      </c>
    </row>
    <row r="3110" spans="43:44" x14ac:dyDescent="0.25">
      <c r="AQ3110" s="136" t="s">
        <v>54</v>
      </c>
      <c r="AR3110" s="35">
        <v>0</v>
      </c>
    </row>
    <row r="3111" spans="43:44" x14ac:dyDescent="0.25">
      <c r="AQ3111" s="138" t="s">
        <v>54</v>
      </c>
      <c r="AR3111" s="35">
        <v>0</v>
      </c>
    </row>
    <row r="3112" spans="43:44" x14ac:dyDescent="0.25">
      <c r="AQ3112" s="139" t="s">
        <v>60</v>
      </c>
      <c r="AR3112" s="35">
        <v>0</v>
      </c>
    </row>
    <row r="3113" spans="43:44" x14ac:dyDescent="0.25">
      <c r="AQ3113" s="16">
        <v>779</v>
      </c>
      <c r="AR3113" s="35">
        <v>0</v>
      </c>
    </row>
    <row r="3114" spans="43:44" x14ac:dyDescent="0.25">
      <c r="AQ3114" s="136" t="s">
        <v>54</v>
      </c>
      <c r="AR3114" s="35">
        <v>0</v>
      </c>
    </row>
    <row r="3115" spans="43:44" x14ac:dyDescent="0.25">
      <c r="AQ3115" s="138" t="s">
        <v>54</v>
      </c>
      <c r="AR3115" s="35">
        <v>0</v>
      </c>
    </row>
    <row r="3116" spans="43:44" x14ac:dyDescent="0.25">
      <c r="AQ3116" s="139" t="s">
        <v>60</v>
      </c>
      <c r="AR3116" s="35">
        <v>0</v>
      </c>
    </row>
    <row r="3117" spans="43:44" x14ac:dyDescent="0.25">
      <c r="AQ3117" s="16">
        <v>780</v>
      </c>
      <c r="AR3117" s="35">
        <v>0</v>
      </c>
    </row>
    <row r="3118" spans="43:44" x14ac:dyDescent="0.25">
      <c r="AQ3118" s="136" t="s">
        <v>54</v>
      </c>
      <c r="AR3118" s="35">
        <v>0</v>
      </c>
    </row>
    <row r="3119" spans="43:44" x14ac:dyDescent="0.25">
      <c r="AQ3119" s="138" t="s">
        <v>54</v>
      </c>
      <c r="AR3119" s="35">
        <v>0</v>
      </c>
    </row>
    <row r="3120" spans="43:44" x14ac:dyDescent="0.25">
      <c r="AQ3120" s="139" t="s">
        <v>60</v>
      </c>
      <c r="AR3120" s="35">
        <v>0</v>
      </c>
    </row>
    <row r="3121" spans="43:44" x14ac:dyDescent="0.25">
      <c r="AQ3121" s="16">
        <v>781</v>
      </c>
      <c r="AR3121" s="35">
        <v>0</v>
      </c>
    </row>
    <row r="3122" spans="43:44" x14ac:dyDescent="0.25">
      <c r="AQ3122" s="136" t="s">
        <v>54</v>
      </c>
      <c r="AR3122" s="35">
        <v>0</v>
      </c>
    </row>
    <row r="3123" spans="43:44" x14ac:dyDescent="0.25">
      <c r="AQ3123" s="138" t="s">
        <v>54</v>
      </c>
      <c r="AR3123" s="35">
        <v>0</v>
      </c>
    </row>
    <row r="3124" spans="43:44" x14ac:dyDescent="0.25">
      <c r="AQ3124" s="139" t="s">
        <v>60</v>
      </c>
      <c r="AR3124" s="35">
        <v>0</v>
      </c>
    </row>
    <row r="3125" spans="43:44" x14ac:dyDescent="0.25">
      <c r="AQ3125" s="16">
        <v>782</v>
      </c>
      <c r="AR3125" s="35">
        <v>0</v>
      </c>
    </row>
    <row r="3126" spans="43:44" x14ac:dyDescent="0.25">
      <c r="AQ3126" s="136" t="s">
        <v>54</v>
      </c>
      <c r="AR3126" s="35">
        <v>0</v>
      </c>
    </row>
    <row r="3127" spans="43:44" x14ac:dyDescent="0.25">
      <c r="AQ3127" s="138" t="s">
        <v>54</v>
      </c>
      <c r="AR3127" s="35">
        <v>0</v>
      </c>
    </row>
    <row r="3128" spans="43:44" x14ac:dyDescent="0.25">
      <c r="AQ3128" s="139" t="s">
        <v>60</v>
      </c>
      <c r="AR3128" s="35">
        <v>0</v>
      </c>
    </row>
    <row r="3129" spans="43:44" x14ac:dyDescent="0.25">
      <c r="AQ3129" s="16">
        <v>783</v>
      </c>
      <c r="AR3129" s="35">
        <v>0</v>
      </c>
    </row>
    <row r="3130" spans="43:44" x14ac:dyDescent="0.25">
      <c r="AQ3130" s="136" t="s">
        <v>54</v>
      </c>
      <c r="AR3130" s="35">
        <v>0</v>
      </c>
    </row>
    <row r="3131" spans="43:44" x14ac:dyDescent="0.25">
      <c r="AQ3131" s="138" t="s">
        <v>54</v>
      </c>
      <c r="AR3131" s="35">
        <v>0</v>
      </c>
    </row>
    <row r="3132" spans="43:44" x14ac:dyDescent="0.25">
      <c r="AQ3132" s="139" t="s">
        <v>60</v>
      </c>
      <c r="AR3132" s="35">
        <v>0</v>
      </c>
    </row>
    <row r="3133" spans="43:44" x14ac:dyDescent="0.25">
      <c r="AQ3133" s="16">
        <v>784</v>
      </c>
      <c r="AR3133" s="35">
        <v>0</v>
      </c>
    </row>
    <row r="3134" spans="43:44" x14ac:dyDescent="0.25">
      <c r="AQ3134" s="136" t="s">
        <v>54</v>
      </c>
      <c r="AR3134" s="35">
        <v>0</v>
      </c>
    </row>
    <row r="3135" spans="43:44" x14ac:dyDescent="0.25">
      <c r="AQ3135" s="138" t="s">
        <v>54</v>
      </c>
      <c r="AR3135" s="35">
        <v>0</v>
      </c>
    </row>
    <row r="3136" spans="43:44" x14ac:dyDescent="0.25">
      <c r="AQ3136" s="139" t="s">
        <v>60</v>
      </c>
      <c r="AR3136" s="35">
        <v>0</v>
      </c>
    </row>
    <row r="3137" spans="43:44" x14ac:dyDescent="0.25">
      <c r="AQ3137" s="16">
        <v>785</v>
      </c>
      <c r="AR3137" s="35">
        <v>0</v>
      </c>
    </row>
    <row r="3138" spans="43:44" x14ac:dyDescent="0.25">
      <c r="AQ3138" s="136" t="s">
        <v>54</v>
      </c>
      <c r="AR3138" s="35">
        <v>0</v>
      </c>
    </row>
    <row r="3139" spans="43:44" x14ac:dyDescent="0.25">
      <c r="AQ3139" s="138" t="s">
        <v>54</v>
      </c>
      <c r="AR3139" s="35">
        <v>0</v>
      </c>
    </row>
    <row r="3140" spans="43:44" x14ac:dyDescent="0.25">
      <c r="AQ3140" s="139" t="s">
        <v>60</v>
      </c>
      <c r="AR3140" s="35">
        <v>0</v>
      </c>
    </row>
    <row r="3141" spans="43:44" x14ac:dyDescent="0.25">
      <c r="AQ3141" s="16">
        <v>786</v>
      </c>
      <c r="AR3141" s="35">
        <v>0</v>
      </c>
    </row>
    <row r="3142" spans="43:44" x14ac:dyDescent="0.25">
      <c r="AQ3142" s="136" t="s">
        <v>54</v>
      </c>
      <c r="AR3142" s="35">
        <v>0</v>
      </c>
    </row>
    <row r="3143" spans="43:44" x14ac:dyDescent="0.25">
      <c r="AQ3143" s="138" t="s">
        <v>54</v>
      </c>
      <c r="AR3143" s="35">
        <v>0</v>
      </c>
    </row>
    <row r="3144" spans="43:44" x14ac:dyDescent="0.25">
      <c r="AQ3144" s="139" t="s">
        <v>60</v>
      </c>
      <c r="AR3144" s="35">
        <v>0</v>
      </c>
    </row>
    <row r="3145" spans="43:44" x14ac:dyDescent="0.25">
      <c r="AQ3145" s="16">
        <v>787</v>
      </c>
      <c r="AR3145" s="35">
        <v>0</v>
      </c>
    </row>
    <row r="3146" spans="43:44" x14ac:dyDescent="0.25">
      <c r="AQ3146" s="136" t="s">
        <v>54</v>
      </c>
      <c r="AR3146" s="35">
        <v>0</v>
      </c>
    </row>
    <row r="3147" spans="43:44" x14ac:dyDescent="0.25">
      <c r="AQ3147" s="138" t="s">
        <v>54</v>
      </c>
      <c r="AR3147" s="35">
        <v>0</v>
      </c>
    </row>
    <row r="3148" spans="43:44" x14ac:dyDescent="0.25">
      <c r="AQ3148" s="139" t="s">
        <v>60</v>
      </c>
      <c r="AR3148" s="35">
        <v>0</v>
      </c>
    </row>
    <row r="3149" spans="43:44" x14ac:dyDescent="0.25">
      <c r="AQ3149" s="16">
        <v>788</v>
      </c>
      <c r="AR3149" s="35">
        <v>0</v>
      </c>
    </row>
    <row r="3150" spans="43:44" x14ac:dyDescent="0.25">
      <c r="AQ3150" s="136" t="s">
        <v>54</v>
      </c>
      <c r="AR3150" s="35">
        <v>0</v>
      </c>
    </row>
    <row r="3151" spans="43:44" x14ac:dyDescent="0.25">
      <c r="AQ3151" s="138" t="s">
        <v>54</v>
      </c>
      <c r="AR3151" s="35">
        <v>0</v>
      </c>
    </row>
    <row r="3152" spans="43:44" x14ac:dyDescent="0.25">
      <c r="AQ3152" s="139" t="s">
        <v>60</v>
      </c>
      <c r="AR3152" s="35">
        <v>0</v>
      </c>
    </row>
    <row r="3153" spans="43:44" x14ac:dyDescent="0.25">
      <c r="AQ3153" s="16">
        <v>789</v>
      </c>
      <c r="AR3153" s="35">
        <v>0</v>
      </c>
    </row>
    <row r="3154" spans="43:44" x14ac:dyDescent="0.25">
      <c r="AQ3154" s="136" t="s">
        <v>54</v>
      </c>
      <c r="AR3154" s="35">
        <v>0</v>
      </c>
    </row>
    <row r="3155" spans="43:44" x14ac:dyDescent="0.25">
      <c r="AQ3155" s="138" t="s">
        <v>54</v>
      </c>
      <c r="AR3155" s="35">
        <v>0</v>
      </c>
    </row>
    <row r="3156" spans="43:44" x14ac:dyDescent="0.25">
      <c r="AQ3156" s="139" t="s">
        <v>60</v>
      </c>
      <c r="AR3156" s="35">
        <v>0</v>
      </c>
    </row>
    <row r="3157" spans="43:44" x14ac:dyDescent="0.25">
      <c r="AQ3157" s="16">
        <v>790</v>
      </c>
      <c r="AR3157" s="35">
        <v>0</v>
      </c>
    </row>
    <row r="3158" spans="43:44" x14ac:dyDescent="0.25">
      <c r="AQ3158" s="136" t="s">
        <v>54</v>
      </c>
      <c r="AR3158" s="35">
        <v>0</v>
      </c>
    </row>
    <row r="3159" spans="43:44" x14ac:dyDescent="0.25">
      <c r="AQ3159" s="138" t="s">
        <v>54</v>
      </c>
      <c r="AR3159" s="35">
        <v>0</v>
      </c>
    </row>
    <row r="3160" spans="43:44" x14ac:dyDescent="0.25">
      <c r="AQ3160" s="139" t="s">
        <v>60</v>
      </c>
      <c r="AR3160" s="35">
        <v>0</v>
      </c>
    </row>
    <row r="3161" spans="43:44" x14ac:dyDescent="0.25">
      <c r="AQ3161" s="16">
        <v>791</v>
      </c>
      <c r="AR3161" s="35">
        <v>0</v>
      </c>
    </row>
    <row r="3162" spans="43:44" x14ac:dyDescent="0.25">
      <c r="AQ3162" s="136" t="s">
        <v>54</v>
      </c>
      <c r="AR3162" s="35">
        <v>0</v>
      </c>
    </row>
    <row r="3163" spans="43:44" x14ac:dyDescent="0.25">
      <c r="AQ3163" s="138" t="s">
        <v>54</v>
      </c>
      <c r="AR3163" s="35">
        <v>0</v>
      </c>
    </row>
    <row r="3164" spans="43:44" x14ac:dyDescent="0.25">
      <c r="AQ3164" s="139" t="s">
        <v>60</v>
      </c>
      <c r="AR3164" s="35">
        <v>0</v>
      </c>
    </row>
    <row r="3165" spans="43:44" x14ac:dyDescent="0.25">
      <c r="AQ3165" s="16">
        <v>792</v>
      </c>
      <c r="AR3165" s="35">
        <v>0</v>
      </c>
    </row>
    <row r="3166" spans="43:44" x14ac:dyDescent="0.25">
      <c r="AQ3166" s="136" t="s">
        <v>54</v>
      </c>
      <c r="AR3166" s="35">
        <v>0</v>
      </c>
    </row>
    <row r="3167" spans="43:44" x14ac:dyDescent="0.25">
      <c r="AQ3167" s="138" t="s">
        <v>54</v>
      </c>
      <c r="AR3167" s="35">
        <v>0</v>
      </c>
    </row>
    <row r="3168" spans="43:44" x14ac:dyDescent="0.25">
      <c r="AQ3168" s="139" t="s">
        <v>60</v>
      </c>
      <c r="AR3168" s="35">
        <v>0</v>
      </c>
    </row>
    <row r="3169" spans="43:44" x14ac:dyDescent="0.25">
      <c r="AQ3169" s="16">
        <v>793</v>
      </c>
      <c r="AR3169" s="35">
        <v>0</v>
      </c>
    </row>
    <row r="3170" spans="43:44" x14ac:dyDescent="0.25">
      <c r="AQ3170" s="136" t="s">
        <v>54</v>
      </c>
      <c r="AR3170" s="35">
        <v>0</v>
      </c>
    </row>
    <row r="3171" spans="43:44" x14ac:dyDescent="0.25">
      <c r="AQ3171" s="138" t="s">
        <v>54</v>
      </c>
      <c r="AR3171" s="35">
        <v>0</v>
      </c>
    </row>
    <row r="3172" spans="43:44" x14ac:dyDescent="0.25">
      <c r="AQ3172" s="139" t="s">
        <v>60</v>
      </c>
      <c r="AR3172" s="35">
        <v>0</v>
      </c>
    </row>
    <row r="3173" spans="43:44" x14ac:dyDescent="0.25">
      <c r="AQ3173" s="16">
        <v>794</v>
      </c>
      <c r="AR3173" s="35">
        <v>0</v>
      </c>
    </row>
    <row r="3174" spans="43:44" x14ac:dyDescent="0.25">
      <c r="AQ3174" s="136" t="s">
        <v>54</v>
      </c>
      <c r="AR3174" s="35">
        <v>0</v>
      </c>
    </row>
    <row r="3175" spans="43:44" x14ac:dyDescent="0.25">
      <c r="AQ3175" s="138" t="s">
        <v>54</v>
      </c>
      <c r="AR3175" s="35">
        <v>0</v>
      </c>
    </row>
    <row r="3176" spans="43:44" x14ac:dyDescent="0.25">
      <c r="AQ3176" s="139" t="s">
        <v>60</v>
      </c>
      <c r="AR3176" s="35">
        <v>0</v>
      </c>
    </row>
    <row r="3177" spans="43:44" x14ac:dyDescent="0.25">
      <c r="AQ3177" s="16">
        <v>795</v>
      </c>
      <c r="AR3177" s="35">
        <v>0</v>
      </c>
    </row>
    <row r="3178" spans="43:44" x14ac:dyDescent="0.25">
      <c r="AQ3178" s="136" t="s">
        <v>54</v>
      </c>
      <c r="AR3178" s="35">
        <v>0</v>
      </c>
    </row>
    <row r="3179" spans="43:44" x14ac:dyDescent="0.25">
      <c r="AQ3179" s="138" t="s">
        <v>54</v>
      </c>
      <c r="AR3179" s="35">
        <v>0</v>
      </c>
    </row>
    <row r="3180" spans="43:44" x14ac:dyDescent="0.25">
      <c r="AQ3180" s="139" t="s">
        <v>60</v>
      </c>
      <c r="AR3180" s="35">
        <v>0</v>
      </c>
    </row>
    <row r="3181" spans="43:44" x14ac:dyDescent="0.25">
      <c r="AQ3181" s="16">
        <v>796</v>
      </c>
      <c r="AR3181" s="35">
        <v>0</v>
      </c>
    </row>
    <row r="3182" spans="43:44" x14ac:dyDescent="0.25">
      <c r="AQ3182" s="136" t="s">
        <v>54</v>
      </c>
      <c r="AR3182" s="35">
        <v>0</v>
      </c>
    </row>
    <row r="3183" spans="43:44" x14ac:dyDescent="0.25">
      <c r="AQ3183" s="138" t="s">
        <v>54</v>
      </c>
      <c r="AR3183" s="35">
        <v>0</v>
      </c>
    </row>
    <row r="3184" spans="43:44" x14ac:dyDescent="0.25">
      <c r="AQ3184" s="139" t="s">
        <v>60</v>
      </c>
      <c r="AR3184" s="35">
        <v>0</v>
      </c>
    </row>
    <row r="3185" spans="43:44" x14ac:dyDescent="0.25">
      <c r="AQ3185" s="16">
        <v>797</v>
      </c>
      <c r="AR3185" s="35">
        <v>0</v>
      </c>
    </row>
    <row r="3186" spans="43:44" x14ac:dyDescent="0.25">
      <c r="AQ3186" s="136" t="s">
        <v>54</v>
      </c>
      <c r="AR3186" s="35">
        <v>0</v>
      </c>
    </row>
    <row r="3187" spans="43:44" x14ac:dyDescent="0.25">
      <c r="AQ3187" s="138" t="s">
        <v>54</v>
      </c>
      <c r="AR3187" s="35">
        <v>0</v>
      </c>
    </row>
    <row r="3188" spans="43:44" x14ac:dyDescent="0.25">
      <c r="AQ3188" s="139" t="s">
        <v>60</v>
      </c>
      <c r="AR3188" s="35">
        <v>0</v>
      </c>
    </row>
    <row r="3189" spans="43:44" x14ac:dyDescent="0.25">
      <c r="AQ3189" s="16">
        <v>798</v>
      </c>
      <c r="AR3189" s="35">
        <v>0</v>
      </c>
    </row>
    <row r="3190" spans="43:44" x14ac:dyDescent="0.25">
      <c r="AQ3190" s="136" t="s">
        <v>54</v>
      </c>
      <c r="AR3190" s="35">
        <v>0</v>
      </c>
    </row>
    <row r="3191" spans="43:44" x14ac:dyDescent="0.25">
      <c r="AQ3191" s="138" t="s">
        <v>54</v>
      </c>
      <c r="AR3191" s="35">
        <v>0</v>
      </c>
    </row>
    <row r="3192" spans="43:44" x14ac:dyDescent="0.25">
      <c r="AQ3192" s="139" t="s">
        <v>60</v>
      </c>
      <c r="AR3192" s="35">
        <v>0</v>
      </c>
    </row>
    <row r="3193" spans="43:44" x14ac:dyDescent="0.25">
      <c r="AQ3193" s="16">
        <v>799</v>
      </c>
      <c r="AR3193" s="35">
        <v>0</v>
      </c>
    </row>
    <row r="3194" spans="43:44" x14ac:dyDescent="0.25">
      <c r="AQ3194" s="136" t="s">
        <v>54</v>
      </c>
      <c r="AR3194" s="35">
        <v>0</v>
      </c>
    </row>
    <row r="3195" spans="43:44" x14ac:dyDescent="0.25">
      <c r="AQ3195" s="138" t="s">
        <v>54</v>
      </c>
      <c r="AR3195" s="35">
        <v>0</v>
      </c>
    </row>
    <row r="3196" spans="43:44" x14ac:dyDescent="0.25">
      <c r="AQ3196" s="139" t="s">
        <v>60</v>
      </c>
      <c r="AR3196" s="35">
        <v>0</v>
      </c>
    </row>
    <row r="3197" spans="43:44" x14ac:dyDescent="0.25">
      <c r="AQ3197" s="16">
        <v>800</v>
      </c>
      <c r="AR3197" s="35">
        <v>0</v>
      </c>
    </row>
    <row r="3198" spans="43:44" x14ac:dyDescent="0.25">
      <c r="AQ3198" s="136" t="s">
        <v>54</v>
      </c>
      <c r="AR3198" s="35">
        <v>0</v>
      </c>
    </row>
    <row r="3199" spans="43:44" x14ac:dyDescent="0.25">
      <c r="AQ3199" s="138" t="s">
        <v>54</v>
      </c>
      <c r="AR3199" s="35">
        <v>0</v>
      </c>
    </row>
    <row r="3200" spans="43:44" x14ac:dyDescent="0.25">
      <c r="AQ3200" s="139" t="s">
        <v>60</v>
      </c>
      <c r="AR3200" s="35">
        <v>0</v>
      </c>
    </row>
    <row r="3201" spans="43:44" x14ac:dyDescent="0.25">
      <c r="AQ3201" s="16">
        <v>801</v>
      </c>
      <c r="AR3201" s="35">
        <v>0</v>
      </c>
    </row>
    <row r="3202" spans="43:44" x14ac:dyDescent="0.25">
      <c r="AQ3202" s="136" t="s">
        <v>54</v>
      </c>
      <c r="AR3202" s="35">
        <v>0</v>
      </c>
    </row>
    <row r="3203" spans="43:44" x14ac:dyDescent="0.25">
      <c r="AQ3203" s="138" t="s">
        <v>54</v>
      </c>
      <c r="AR3203" s="35">
        <v>0</v>
      </c>
    </row>
    <row r="3204" spans="43:44" x14ac:dyDescent="0.25">
      <c r="AQ3204" s="139" t="s">
        <v>60</v>
      </c>
      <c r="AR3204" s="35">
        <v>0</v>
      </c>
    </row>
    <row r="3205" spans="43:44" x14ac:dyDescent="0.25">
      <c r="AQ3205" s="16">
        <v>802</v>
      </c>
      <c r="AR3205" s="35">
        <v>0</v>
      </c>
    </row>
    <row r="3206" spans="43:44" x14ac:dyDescent="0.25">
      <c r="AQ3206" s="136" t="s">
        <v>54</v>
      </c>
      <c r="AR3206" s="35">
        <v>0</v>
      </c>
    </row>
    <row r="3207" spans="43:44" x14ac:dyDescent="0.25">
      <c r="AQ3207" s="138" t="s">
        <v>54</v>
      </c>
      <c r="AR3207" s="35">
        <v>0</v>
      </c>
    </row>
    <row r="3208" spans="43:44" x14ac:dyDescent="0.25">
      <c r="AQ3208" s="139" t="s">
        <v>60</v>
      </c>
      <c r="AR3208" s="35">
        <v>0</v>
      </c>
    </row>
    <row r="3209" spans="43:44" x14ac:dyDescent="0.25">
      <c r="AQ3209" s="16">
        <v>803</v>
      </c>
      <c r="AR3209" s="35">
        <v>0</v>
      </c>
    </row>
    <row r="3210" spans="43:44" x14ac:dyDescent="0.25">
      <c r="AQ3210" s="136" t="s">
        <v>54</v>
      </c>
      <c r="AR3210" s="35">
        <v>0</v>
      </c>
    </row>
    <row r="3211" spans="43:44" x14ac:dyDescent="0.25">
      <c r="AQ3211" s="138" t="s">
        <v>54</v>
      </c>
      <c r="AR3211" s="35">
        <v>0</v>
      </c>
    </row>
    <row r="3212" spans="43:44" x14ac:dyDescent="0.25">
      <c r="AQ3212" s="139" t="s">
        <v>60</v>
      </c>
      <c r="AR3212" s="35">
        <v>0</v>
      </c>
    </row>
    <row r="3213" spans="43:44" x14ac:dyDescent="0.25">
      <c r="AQ3213" s="16">
        <v>804</v>
      </c>
      <c r="AR3213" s="35">
        <v>0</v>
      </c>
    </row>
    <row r="3214" spans="43:44" x14ac:dyDescent="0.25">
      <c r="AQ3214" s="136" t="s">
        <v>54</v>
      </c>
      <c r="AR3214" s="35">
        <v>0</v>
      </c>
    </row>
    <row r="3215" spans="43:44" x14ac:dyDescent="0.25">
      <c r="AQ3215" s="138" t="s">
        <v>54</v>
      </c>
      <c r="AR3215" s="35">
        <v>0</v>
      </c>
    </row>
    <row r="3216" spans="43:44" x14ac:dyDescent="0.25">
      <c r="AQ3216" s="139" t="s">
        <v>60</v>
      </c>
      <c r="AR3216" s="35">
        <v>0</v>
      </c>
    </row>
    <row r="3217" spans="43:44" x14ac:dyDescent="0.25">
      <c r="AQ3217" s="16">
        <v>805</v>
      </c>
      <c r="AR3217" s="35">
        <v>0</v>
      </c>
    </row>
    <row r="3218" spans="43:44" x14ac:dyDescent="0.25">
      <c r="AQ3218" s="136" t="s">
        <v>54</v>
      </c>
      <c r="AR3218" s="35">
        <v>0</v>
      </c>
    </row>
    <row r="3219" spans="43:44" x14ac:dyDescent="0.25">
      <c r="AQ3219" s="138" t="s">
        <v>54</v>
      </c>
      <c r="AR3219" s="35">
        <v>0</v>
      </c>
    </row>
    <row r="3220" spans="43:44" x14ac:dyDescent="0.25">
      <c r="AQ3220" s="139" t="s">
        <v>60</v>
      </c>
      <c r="AR3220" s="35">
        <v>0</v>
      </c>
    </row>
    <row r="3221" spans="43:44" x14ac:dyDescent="0.25">
      <c r="AQ3221" s="16">
        <v>806</v>
      </c>
      <c r="AR3221" s="35">
        <v>0</v>
      </c>
    </row>
    <row r="3222" spans="43:44" x14ac:dyDescent="0.25">
      <c r="AQ3222" s="136" t="s">
        <v>54</v>
      </c>
      <c r="AR3222" s="35">
        <v>0</v>
      </c>
    </row>
    <row r="3223" spans="43:44" x14ac:dyDescent="0.25">
      <c r="AQ3223" s="138" t="s">
        <v>54</v>
      </c>
      <c r="AR3223" s="35">
        <v>0</v>
      </c>
    </row>
    <row r="3224" spans="43:44" x14ac:dyDescent="0.25">
      <c r="AQ3224" s="139" t="s">
        <v>60</v>
      </c>
      <c r="AR3224" s="35">
        <v>0</v>
      </c>
    </row>
    <row r="3225" spans="43:44" x14ac:dyDescent="0.25">
      <c r="AQ3225" s="16">
        <v>807</v>
      </c>
      <c r="AR3225" s="35">
        <v>0</v>
      </c>
    </row>
    <row r="3226" spans="43:44" x14ac:dyDescent="0.25">
      <c r="AQ3226" s="136" t="s">
        <v>54</v>
      </c>
      <c r="AR3226" s="35">
        <v>0</v>
      </c>
    </row>
    <row r="3227" spans="43:44" x14ac:dyDescent="0.25">
      <c r="AQ3227" s="138" t="s">
        <v>54</v>
      </c>
      <c r="AR3227" s="35">
        <v>0</v>
      </c>
    </row>
    <row r="3228" spans="43:44" x14ac:dyDescent="0.25">
      <c r="AQ3228" s="139" t="s">
        <v>60</v>
      </c>
      <c r="AR3228" s="35">
        <v>0</v>
      </c>
    </row>
    <row r="3229" spans="43:44" x14ac:dyDescent="0.25">
      <c r="AQ3229" s="16">
        <v>808</v>
      </c>
      <c r="AR3229" s="35">
        <v>0</v>
      </c>
    </row>
    <row r="3230" spans="43:44" x14ac:dyDescent="0.25">
      <c r="AQ3230" s="136" t="s">
        <v>54</v>
      </c>
      <c r="AR3230" s="35">
        <v>0</v>
      </c>
    </row>
    <row r="3231" spans="43:44" x14ac:dyDescent="0.25">
      <c r="AQ3231" s="138" t="s">
        <v>54</v>
      </c>
      <c r="AR3231" s="35">
        <v>0</v>
      </c>
    </row>
    <row r="3232" spans="43:44" x14ac:dyDescent="0.25">
      <c r="AQ3232" s="139" t="s">
        <v>60</v>
      </c>
      <c r="AR3232" s="35">
        <v>0</v>
      </c>
    </row>
    <row r="3233" spans="43:44" x14ac:dyDescent="0.25">
      <c r="AQ3233" s="16">
        <v>809</v>
      </c>
      <c r="AR3233" s="35">
        <v>0</v>
      </c>
    </row>
    <row r="3234" spans="43:44" x14ac:dyDescent="0.25">
      <c r="AQ3234" s="136" t="s">
        <v>54</v>
      </c>
      <c r="AR3234" s="35">
        <v>0</v>
      </c>
    </row>
    <row r="3235" spans="43:44" x14ac:dyDescent="0.25">
      <c r="AQ3235" s="138" t="s">
        <v>54</v>
      </c>
      <c r="AR3235" s="35">
        <v>0</v>
      </c>
    </row>
    <row r="3236" spans="43:44" x14ac:dyDescent="0.25">
      <c r="AQ3236" s="139" t="s">
        <v>60</v>
      </c>
      <c r="AR3236" s="35">
        <v>0</v>
      </c>
    </row>
    <row r="3237" spans="43:44" x14ac:dyDescent="0.25">
      <c r="AQ3237" s="16">
        <v>810</v>
      </c>
      <c r="AR3237" s="35">
        <v>0</v>
      </c>
    </row>
    <row r="3238" spans="43:44" x14ac:dyDescent="0.25">
      <c r="AQ3238" s="136" t="s">
        <v>54</v>
      </c>
      <c r="AR3238" s="35">
        <v>0</v>
      </c>
    </row>
    <row r="3239" spans="43:44" x14ac:dyDescent="0.25">
      <c r="AQ3239" s="138" t="s">
        <v>54</v>
      </c>
      <c r="AR3239" s="35">
        <v>0</v>
      </c>
    </row>
    <row r="3240" spans="43:44" x14ac:dyDescent="0.25">
      <c r="AQ3240" s="139" t="s">
        <v>60</v>
      </c>
      <c r="AR3240" s="35">
        <v>0</v>
      </c>
    </row>
    <row r="3241" spans="43:44" x14ac:dyDescent="0.25">
      <c r="AQ3241" s="16">
        <v>811</v>
      </c>
      <c r="AR3241" s="35">
        <v>0</v>
      </c>
    </row>
    <row r="3242" spans="43:44" x14ac:dyDescent="0.25">
      <c r="AQ3242" s="136" t="s">
        <v>54</v>
      </c>
      <c r="AR3242" s="35">
        <v>0</v>
      </c>
    </row>
    <row r="3243" spans="43:44" x14ac:dyDescent="0.25">
      <c r="AQ3243" s="138" t="s">
        <v>54</v>
      </c>
      <c r="AR3243" s="35">
        <v>0</v>
      </c>
    </row>
    <row r="3244" spans="43:44" x14ac:dyDescent="0.25">
      <c r="AQ3244" s="139" t="s">
        <v>60</v>
      </c>
      <c r="AR3244" s="35">
        <v>0</v>
      </c>
    </row>
    <row r="3245" spans="43:44" x14ac:dyDescent="0.25">
      <c r="AQ3245" s="16">
        <v>812</v>
      </c>
      <c r="AR3245" s="35">
        <v>0</v>
      </c>
    </row>
    <row r="3246" spans="43:44" x14ac:dyDescent="0.25">
      <c r="AQ3246" s="136" t="s">
        <v>54</v>
      </c>
      <c r="AR3246" s="35">
        <v>0</v>
      </c>
    </row>
    <row r="3247" spans="43:44" x14ac:dyDescent="0.25">
      <c r="AQ3247" s="138" t="s">
        <v>54</v>
      </c>
      <c r="AR3247" s="35">
        <v>0</v>
      </c>
    </row>
    <row r="3248" spans="43:44" x14ac:dyDescent="0.25">
      <c r="AQ3248" s="139" t="s">
        <v>60</v>
      </c>
      <c r="AR3248" s="35">
        <v>0</v>
      </c>
    </row>
    <row r="3249" spans="43:44" x14ac:dyDescent="0.25">
      <c r="AQ3249" s="16">
        <v>813</v>
      </c>
      <c r="AR3249" s="35">
        <v>0</v>
      </c>
    </row>
    <row r="3250" spans="43:44" x14ac:dyDescent="0.25">
      <c r="AQ3250" s="136" t="s">
        <v>54</v>
      </c>
      <c r="AR3250" s="35">
        <v>0</v>
      </c>
    </row>
    <row r="3251" spans="43:44" x14ac:dyDescent="0.25">
      <c r="AQ3251" s="138" t="s">
        <v>54</v>
      </c>
      <c r="AR3251" s="35">
        <v>0</v>
      </c>
    </row>
    <row r="3252" spans="43:44" x14ac:dyDescent="0.25">
      <c r="AQ3252" s="139" t="s">
        <v>60</v>
      </c>
      <c r="AR3252" s="35">
        <v>0</v>
      </c>
    </row>
    <row r="3253" spans="43:44" x14ac:dyDescent="0.25">
      <c r="AQ3253" s="16">
        <v>814</v>
      </c>
      <c r="AR3253" s="35">
        <v>0</v>
      </c>
    </row>
    <row r="3254" spans="43:44" x14ac:dyDescent="0.25">
      <c r="AQ3254" s="136" t="s">
        <v>54</v>
      </c>
      <c r="AR3254" s="35">
        <v>0</v>
      </c>
    </row>
    <row r="3255" spans="43:44" x14ac:dyDescent="0.25">
      <c r="AQ3255" s="138" t="s">
        <v>54</v>
      </c>
      <c r="AR3255" s="35">
        <v>0</v>
      </c>
    </row>
    <row r="3256" spans="43:44" x14ac:dyDescent="0.25">
      <c r="AQ3256" s="139" t="s">
        <v>60</v>
      </c>
      <c r="AR3256" s="35">
        <v>0</v>
      </c>
    </row>
    <row r="3257" spans="43:44" x14ac:dyDescent="0.25">
      <c r="AQ3257" s="16">
        <v>815</v>
      </c>
      <c r="AR3257" s="35">
        <v>0</v>
      </c>
    </row>
    <row r="3258" spans="43:44" x14ac:dyDescent="0.25">
      <c r="AQ3258" s="136" t="s">
        <v>54</v>
      </c>
      <c r="AR3258" s="35">
        <v>0</v>
      </c>
    </row>
    <row r="3259" spans="43:44" x14ac:dyDescent="0.25">
      <c r="AQ3259" s="138" t="s">
        <v>54</v>
      </c>
      <c r="AR3259" s="35">
        <v>0</v>
      </c>
    </row>
    <row r="3260" spans="43:44" x14ac:dyDescent="0.25">
      <c r="AQ3260" s="139" t="s">
        <v>60</v>
      </c>
      <c r="AR3260" s="35">
        <v>0</v>
      </c>
    </row>
    <row r="3261" spans="43:44" x14ac:dyDescent="0.25">
      <c r="AQ3261" s="16">
        <v>816</v>
      </c>
      <c r="AR3261" s="35">
        <v>0</v>
      </c>
    </row>
    <row r="3262" spans="43:44" x14ac:dyDescent="0.25">
      <c r="AQ3262" s="136" t="s">
        <v>54</v>
      </c>
      <c r="AR3262" s="35">
        <v>0</v>
      </c>
    </row>
    <row r="3263" spans="43:44" x14ac:dyDescent="0.25">
      <c r="AQ3263" s="138" t="s">
        <v>54</v>
      </c>
      <c r="AR3263" s="35">
        <v>0</v>
      </c>
    </row>
    <row r="3264" spans="43:44" x14ac:dyDescent="0.25">
      <c r="AQ3264" s="139" t="s">
        <v>60</v>
      </c>
      <c r="AR3264" s="35">
        <v>0</v>
      </c>
    </row>
    <row r="3265" spans="43:44" x14ac:dyDescent="0.25">
      <c r="AQ3265" s="16">
        <v>817</v>
      </c>
      <c r="AR3265" s="35">
        <v>0</v>
      </c>
    </row>
    <row r="3266" spans="43:44" x14ac:dyDescent="0.25">
      <c r="AQ3266" s="136" t="s">
        <v>54</v>
      </c>
      <c r="AR3266" s="35">
        <v>0</v>
      </c>
    </row>
    <row r="3267" spans="43:44" x14ac:dyDescent="0.25">
      <c r="AQ3267" s="138" t="s">
        <v>54</v>
      </c>
      <c r="AR3267" s="35">
        <v>0</v>
      </c>
    </row>
    <row r="3268" spans="43:44" x14ac:dyDescent="0.25">
      <c r="AQ3268" s="139" t="s">
        <v>60</v>
      </c>
      <c r="AR3268" s="35">
        <v>0</v>
      </c>
    </row>
    <row r="3269" spans="43:44" x14ac:dyDescent="0.25">
      <c r="AQ3269" s="16">
        <v>818</v>
      </c>
      <c r="AR3269" s="35">
        <v>0</v>
      </c>
    </row>
    <row r="3270" spans="43:44" x14ac:dyDescent="0.25">
      <c r="AQ3270" s="136" t="s">
        <v>54</v>
      </c>
      <c r="AR3270" s="35">
        <v>0</v>
      </c>
    </row>
    <row r="3271" spans="43:44" x14ac:dyDescent="0.25">
      <c r="AQ3271" s="138" t="s">
        <v>54</v>
      </c>
      <c r="AR3271" s="35">
        <v>0</v>
      </c>
    </row>
    <row r="3272" spans="43:44" x14ac:dyDescent="0.25">
      <c r="AQ3272" s="139" t="s">
        <v>60</v>
      </c>
      <c r="AR3272" s="35">
        <v>0</v>
      </c>
    </row>
    <row r="3273" spans="43:44" x14ac:dyDescent="0.25">
      <c r="AQ3273" s="16">
        <v>819</v>
      </c>
      <c r="AR3273" s="35">
        <v>0</v>
      </c>
    </row>
    <row r="3274" spans="43:44" x14ac:dyDescent="0.25">
      <c r="AQ3274" s="136" t="s">
        <v>54</v>
      </c>
      <c r="AR3274" s="35">
        <v>0</v>
      </c>
    </row>
    <row r="3275" spans="43:44" x14ac:dyDescent="0.25">
      <c r="AQ3275" s="138" t="s">
        <v>54</v>
      </c>
      <c r="AR3275" s="35">
        <v>0</v>
      </c>
    </row>
    <row r="3276" spans="43:44" x14ac:dyDescent="0.25">
      <c r="AQ3276" s="139" t="s">
        <v>60</v>
      </c>
      <c r="AR3276" s="35">
        <v>0</v>
      </c>
    </row>
    <row r="3277" spans="43:44" x14ac:dyDescent="0.25">
      <c r="AQ3277" s="16">
        <v>820</v>
      </c>
      <c r="AR3277" s="35">
        <v>0</v>
      </c>
    </row>
    <row r="3278" spans="43:44" x14ac:dyDescent="0.25">
      <c r="AQ3278" s="136" t="s">
        <v>54</v>
      </c>
      <c r="AR3278" s="35">
        <v>0</v>
      </c>
    </row>
    <row r="3279" spans="43:44" x14ac:dyDescent="0.25">
      <c r="AQ3279" s="138" t="s">
        <v>54</v>
      </c>
      <c r="AR3279" s="35">
        <v>0</v>
      </c>
    </row>
    <row r="3280" spans="43:44" x14ac:dyDescent="0.25">
      <c r="AQ3280" s="139" t="s">
        <v>60</v>
      </c>
      <c r="AR3280" s="35">
        <v>0</v>
      </c>
    </row>
    <row r="3281" spans="43:44" x14ac:dyDescent="0.25">
      <c r="AQ3281" s="16">
        <v>821</v>
      </c>
      <c r="AR3281" s="35">
        <v>0</v>
      </c>
    </row>
    <row r="3282" spans="43:44" x14ac:dyDescent="0.25">
      <c r="AQ3282" s="136" t="s">
        <v>54</v>
      </c>
      <c r="AR3282" s="35">
        <v>0</v>
      </c>
    </row>
    <row r="3283" spans="43:44" x14ac:dyDescent="0.25">
      <c r="AQ3283" s="138" t="s">
        <v>54</v>
      </c>
      <c r="AR3283" s="35">
        <v>0</v>
      </c>
    </row>
    <row r="3284" spans="43:44" x14ac:dyDescent="0.25">
      <c r="AQ3284" s="139" t="s">
        <v>60</v>
      </c>
      <c r="AR3284" s="35">
        <v>0</v>
      </c>
    </row>
    <row r="3285" spans="43:44" x14ac:dyDescent="0.25">
      <c r="AQ3285" s="16">
        <v>822</v>
      </c>
      <c r="AR3285" s="35">
        <v>0</v>
      </c>
    </row>
    <row r="3286" spans="43:44" x14ac:dyDescent="0.25">
      <c r="AQ3286" s="136" t="s">
        <v>54</v>
      </c>
      <c r="AR3286" s="35">
        <v>0</v>
      </c>
    </row>
    <row r="3287" spans="43:44" x14ac:dyDescent="0.25">
      <c r="AQ3287" s="138" t="s">
        <v>54</v>
      </c>
      <c r="AR3287" s="35">
        <v>0</v>
      </c>
    </row>
    <row r="3288" spans="43:44" x14ac:dyDescent="0.25">
      <c r="AQ3288" s="139" t="s">
        <v>60</v>
      </c>
      <c r="AR3288" s="35">
        <v>0</v>
      </c>
    </row>
    <row r="3289" spans="43:44" x14ac:dyDescent="0.25">
      <c r="AQ3289" s="16">
        <v>823</v>
      </c>
      <c r="AR3289" s="35">
        <v>0</v>
      </c>
    </row>
    <row r="3290" spans="43:44" x14ac:dyDescent="0.25">
      <c r="AQ3290" s="136" t="s">
        <v>54</v>
      </c>
      <c r="AR3290" s="35">
        <v>0</v>
      </c>
    </row>
    <row r="3291" spans="43:44" x14ac:dyDescent="0.25">
      <c r="AQ3291" s="138" t="s">
        <v>54</v>
      </c>
      <c r="AR3291" s="35">
        <v>0</v>
      </c>
    </row>
    <row r="3292" spans="43:44" x14ac:dyDescent="0.25">
      <c r="AQ3292" s="139" t="s">
        <v>60</v>
      </c>
      <c r="AR3292" s="35">
        <v>0</v>
      </c>
    </row>
    <row r="3293" spans="43:44" x14ac:dyDescent="0.25">
      <c r="AQ3293" s="16">
        <v>824</v>
      </c>
      <c r="AR3293" s="35">
        <v>0</v>
      </c>
    </row>
    <row r="3294" spans="43:44" x14ac:dyDescent="0.25">
      <c r="AQ3294" s="136" t="s">
        <v>54</v>
      </c>
      <c r="AR3294" s="35">
        <v>0</v>
      </c>
    </row>
    <row r="3295" spans="43:44" x14ac:dyDescent="0.25">
      <c r="AQ3295" s="138" t="s">
        <v>54</v>
      </c>
      <c r="AR3295" s="35">
        <v>0</v>
      </c>
    </row>
    <row r="3296" spans="43:44" x14ac:dyDescent="0.25">
      <c r="AQ3296" s="139" t="s">
        <v>60</v>
      </c>
      <c r="AR3296" s="35">
        <v>0</v>
      </c>
    </row>
    <row r="3297" spans="43:44" x14ac:dyDescent="0.25">
      <c r="AQ3297" s="16">
        <v>825</v>
      </c>
      <c r="AR3297" s="35">
        <v>0</v>
      </c>
    </row>
    <row r="3298" spans="43:44" x14ac:dyDescent="0.25">
      <c r="AQ3298" s="136" t="s">
        <v>54</v>
      </c>
      <c r="AR3298" s="35">
        <v>0</v>
      </c>
    </row>
    <row r="3299" spans="43:44" x14ac:dyDescent="0.25">
      <c r="AQ3299" s="138" t="s">
        <v>54</v>
      </c>
      <c r="AR3299" s="35">
        <v>0</v>
      </c>
    </row>
    <row r="3300" spans="43:44" x14ac:dyDescent="0.25">
      <c r="AQ3300" s="139" t="s">
        <v>60</v>
      </c>
      <c r="AR3300" s="35">
        <v>0</v>
      </c>
    </row>
    <row r="3301" spans="43:44" x14ac:dyDescent="0.25">
      <c r="AQ3301" s="16">
        <v>826</v>
      </c>
      <c r="AR3301" s="35">
        <v>0</v>
      </c>
    </row>
    <row r="3302" spans="43:44" x14ac:dyDescent="0.25">
      <c r="AQ3302" s="136" t="s">
        <v>54</v>
      </c>
      <c r="AR3302" s="35">
        <v>0</v>
      </c>
    </row>
    <row r="3303" spans="43:44" x14ac:dyDescent="0.25">
      <c r="AQ3303" s="138" t="s">
        <v>54</v>
      </c>
      <c r="AR3303" s="35">
        <v>0</v>
      </c>
    </row>
    <row r="3304" spans="43:44" x14ac:dyDescent="0.25">
      <c r="AQ3304" s="139" t="s">
        <v>60</v>
      </c>
      <c r="AR3304" s="35">
        <v>0</v>
      </c>
    </row>
    <row r="3305" spans="43:44" x14ac:dyDescent="0.25">
      <c r="AQ3305" s="16">
        <v>827</v>
      </c>
      <c r="AR3305" s="35">
        <v>0</v>
      </c>
    </row>
    <row r="3306" spans="43:44" x14ac:dyDescent="0.25">
      <c r="AQ3306" s="136" t="s">
        <v>54</v>
      </c>
      <c r="AR3306" s="35">
        <v>0</v>
      </c>
    </row>
    <row r="3307" spans="43:44" x14ac:dyDescent="0.25">
      <c r="AQ3307" s="138" t="s">
        <v>54</v>
      </c>
      <c r="AR3307" s="35">
        <v>0</v>
      </c>
    </row>
    <row r="3308" spans="43:44" x14ac:dyDescent="0.25">
      <c r="AQ3308" s="139" t="s">
        <v>60</v>
      </c>
      <c r="AR3308" s="35">
        <v>0</v>
      </c>
    </row>
    <row r="3309" spans="43:44" x14ac:dyDescent="0.25">
      <c r="AQ3309" s="16">
        <v>828</v>
      </c>
      <c r="AR3309" s="35">
        <v>0</v>
      </c>
    </row>
    <row r="3310" spans="43:44" x14ac:dyDescent="0.25">
      <c r="AQ3310" s="136" t="s">
        <v>54</v>
      </c>
      <c r="AR3310" s="35">
        <v>0</v>
      </c>
    </row>
    <row r="3311" spans="43:44" x14ac:dyDescent="0.25">
      <c r="AQ3311" s="138" t="s">
        <v>54</v>
      </c>
      <c r="AR3311" s="35">
        <v>0</v>
      </c>
    </row>
    <row r="3312" spans="43:44" x14ac:dyDescent="0.25">
      <c r="AQ3312" s="139" t="s">
        <v>60</v>
      </c>
      <c r="AR3312" s="35">
        <v>0</v>
      </c>
    </row>
    <row r="3313" spans="43:44" x14ac:dyDescent="0.25">
      <c r="AQ3313" s="16">
        <v>829</v>
      </c>
      <c r="AR3313" s="35">
        <v>0</v>
      </c>
    </row>
    <row r="3314" spans="43:44" x14ac:dyDescent="0.25">
      <c r="AQ3314" s="136" t="s">
        <v>54</v>
      </c>
      <c r="AR3314" s="35">
        <v>0</v>
      </c>
    </row>
    <row r="3315" spans="43:44" x14ac:dyDescent="0.25">
      <c r="AQ3315" s="138" t="s">
        <v>54</v>
      </c>
      <c r="AR3315" s="35">
        <v>0</v>
      </c>
    </row>
    <row r="3316" spans="43:44" x14ac:dyDescent="0.25">
      <c r="AQ3316" s="139" t="s">
        <v>60</v>
      </c>
      <c r="AR3316" s="35">
        <v>0</v>
      </c>
    </row>
    <row r="3317" spans="43:44" x14ac:dyDescent="0.25">
      <c r="AQ3317" s="16">
        <v>830</v>
      </c>
      <c r="AR3317" s="35">
        <v>0</v>
      </c>
    </row>
    <row r="3318" spans="43:44" x14ac:dyDescent="0.25">
      <c r="AQ3318" s="136" t="s">
        <v>54</v>
      </c>
      <c r="AR3318" s="35">
        <v>0</v>
      </c>
    </row>
    <row r="3319" spans="43:44" x14ac:dyDescent="0.25">
      <c r="AQ3319" s="138" t="s">
        <v>54</v>
      </c>
      <c r="AR3319" s="35">
        <v>0</v>
      </c>
    </row>
    <row r="3320" spans="43:44" x14ac:dyDescent="0.25">
      <c r="AQ3320" s="139" t="s">
        <v>60</v>
      </c>
      <c r="AR3320" s="35">
        <v>0</v>
      </c>
    </row>
    <row r="3321" spans="43:44" x14ac:dyDescent="0.25">
      <c r="AQ3321" s="16">
        <v>831</v>
      </c>
      <c r="AR3321" s="35">
        <v>0</v>
      </c>
    </row>
    <row r="3322" spans="43:44" x14ac:dyDescent="0.25">
      <c r="AQ3322" s="136" t="s">
        <v>54</v>
      </c>
      <c r="AR3322" s="35">
        <v>0</v>
      </c>
    </row>
    <row r="3323" spans="43:44" x14ac:dyDescent="0.25">
      <c r="AQ3323" s="138" t="s">
        <v>54</v>
      </c>
      <c r="AR3323" s="35">
        <v>0</v>
      </c>
    </row>
    <row r="3324" spans="43:44" x14ac:dyDescent="0.25">
      <c r="AQ3324" s="139" t="s">
        <v>60</v>
      </c>
      <c r="AR3324" s="35">
        <v>0</v>
      </c>
    </row>
    <row r="3325" spans="43:44" x14ac:dyDescent="0.25">
      <c r="AQ3325" s="16">
        <v>832</v>
      </c>
      <c r="AR3325" s="35">
        <v>0</v>
      </c>
    </row>
    <row r="3326" spans="43:44" x14ac:dyDescent="0.25">
      <c r="AQ3326" s="136" t="s">
        <v>54</v>
      </c>
      <c r="AR3326" s="35">
        <v>0</v>
      </c>
    </row>
    <row r="3327" spans="43:44" x14ac:dyDescent="0.25">
      <c r="AQ3327" s="138" t="s">
        <v>54</v>
      </c>
      <c r="AR3327" s="35">
        <v>0</v>
      </c>
    </row>
    <row r="3328" spans="43:44" x14ac:dyDescent="0.25">
      <c r="AQ3328" s="139" t="s">
        <v>60</v>
      </c>
      <c r="AR3328" s="35">
        <v>0</v>
      </c>
    </row>
    <row r="3329" spans="43:44" x14ac:dyDescent="0.25">
      <c r="AQ3329" s="16">
        <v>833</v>
      </c>
      <c r="AR3329" s="35">
        <v>0</v>
      </c>
    </row>
    <row r="3330" spans="43:44" x14ac:dyDescent="0.25">
      <c r="AQ3330" s="136" t="s">
        <v>54</v>
      </c>
      <c r="AR3330" s="35">
        <v>0</v>
      </c>
    </row>
    <row r="3331" spans="43:44" x14ac:dyDescent="0.25">
      <c r="AQ3331" s="138" t="s">
        <v>54</v>
      </c>
      <c r="AR3331" s="35">
        <v>0</v>
      </c>
    </row>
    <row r="3332" spans="43:44" x14ac:dyDescent="0.25">
      <c r="AQ3332" s="139" t="s">
        <v>60</v>
      </c>
      <c r="AR3332" s="35">
        <v>0</v>
      </c>
    </row>
    <row r="3333" spans="43:44" x14ac:dyDescent="0.25">
      <c r="AQ3333" s="16">
        <v>834</v>
      </c>
      <c r="AR3333" s="35">
        <v>0</v>
      </c>
    </row>
    <row r="3334" spans="43:44" x14ac:dyDescent="0.25">
      <c r="AQ3334" s="136" t="s">
        <v>54</v>
      </c>
      <c r="AR3334" s="35">
        <v>0</v>
      </c>
    </row>
    <row r="3335" spans="43:44" x14ac:dyDescent="0.25">
      <c r="AQ3335" s="138" t="s">
        <v>54</v>
      </c>
      <c r="AR3335" s="35">
        <v>0</v>
      </c>
    </row>
    <row r="3336" spans="43:44" x14ac:dyDescent="0.25">
      <c r="AQ3336" s="139" t="s">
        <v>60</v>
      </c>
      <c r="AR3336" s="35">
        <v>0</v>
      </c>
    </row>
    <row r="3337" spans="43:44" x14ac:dyDescent="0.25">
      <c r="AQ3337" s="16">
        <v>835</v>
      </c>
      <c r="AR3337" s="35">
        <v>0</v>
      </c>
    </row>
    <row r="3338" spans="43:44" x14ac:dyDescent="0.25">
      <c r="AQ3338" s="136" t="s">
        <v>54</v>
      </c>
      <c r="AR3338" s="35">
        <v>0</v>
      </c>
    </row>
    <row r="3339" spans="43:44" x14ac:dyDescent="0.25">
      <c r="AQ3339" s="138" t="s">
        <v>54</v>
      </c>
      <c r="AR3339" s="35">
        <v>0</v>
      </c>
    </row>
    <row r="3340" spans="43:44" x14ac:dyDescent="0.25">
      <c r="AQ3340" s="139" t="s">
        <v>60</v>
      </c>
      <c r="AR3340" s="35">
        <v>0</v>
      </c>
    </row>
    <row r="3341" spans="43:44" x14ac:dyDescent="0.25">
      <c r="AQ3341" s="16">
        <v>836</v>
      </c>
      <c r="AR3341" s="35">
        <v>0</v>
      </c>
    </row>
    <row r="3342" spans="43:44" x14ac:dyDescent="0.25">
      <c r="AQ3342" s="136" t="s">
        <v>54</v>
      </c>
      <c r="AR3342" s="35">
        <v>0</v>
      </c>
    </row>
    <row r="3343" spans="43:44" x14ac:dyDescent="0.25">
      <c r="AQ3343" s="138" t="s">
        <v>54</v>
      </c>
      <c r="AR3343" s="35">
        <v>0</v>
      </c>
    </row>
    <row r="3344" spans="43:44" x14ac:dyDescent="0.25">
      <c r="AQ3344" s="139" t="s">
        <v>60</v>
      </c>
      <c r="AR3344" s="35">
        <v>0</v>
      </c>
    </row>
    <row r="3345" spans="43:44" x14ac:dyDescent="0.25">
      <c r="AQ3345" s="16">
        <v>837</v>
      </c>
      <c r="AR3345" s="35">
        <v>0</v>
      </c>
    </row>
    <row r="3346" spans="43:44" x14ac:dyDescent="0.25">
      <c r="AQ3346" s="136" t="s">
        <v>54</v>
      </c>
      <c r="AR3346" s="35">
        <v>0</v>
      </c>
    </row>
    <row r="3347" spans="43:44" x14ac:dyDescent="0.25">
      <c r="AQ3347" s="138" t="s">
        <v>54</v>
      </c>
      <c r="AR3347" s="35">
        <v>0</v>
      </c>
    </row>
    <row r="3348" spans="43:44" x14ac:dyDescent="0.25">
      <c r="AQ3348" s="139" t="s">
        <v>60</v>
      </c>
      <c r="AR3348" s="35">
        <v>0</v>
      </c>
    </row>
    <row r="3349" spans="43:44" x14ac:dyDescent="0.25">
      <c r="AQ3349" s="16">
        <v>838</v>
      </c>
      <c r="AR3349" s="35">
        <v>0</v>
      </c>
    </row>
    <row r="3350" spans="43:44" x14ac:dyDescent="0.25">
      <c r="AQ3350" s="136" t="s">
        <v>54</v>
      </c>
      <c r="AR3350" s="35">
        <v>0</v>
      </c>
    </row>
    <row r="3351" spans="43:44" x14ac:dyDescent="0.25">
      <c r="AQ3351" s="138" t="s">
        <v>54</v>
      </c>
      <c r="AR3351" s="35">
        <v>0</v>
      </c>
    </row>
    <row r="3352" spans="43:44" x14ac:dyDescent="0.25">
      <c r="AQ3352" s="139" t="s">
        <v>60</v>
      </c>
      <c r="AR3352" s="35">
        <v>0</v>
      </c>
    </row>
    <row r="3353" spans="43:44" x14ac:dyDescent="0.25">
      <c r="AQ3353" s="16">
        <v>839</v>
      </c>
      <c r="AR3353" s="35">
        <v>0</v>
      </c>
    </row>
    <row r="3354" spans="43:44" x14ac:dyDescent="0.25">
      <c r="AQ3354" s="136" t="s">
        <v>54</v>
      </c>
      <c r="AR3354" s="35">
        <v>0</v>
      </c>
    </row>
    <row r="3355" spans="43:44" x14ac:dyDescent="0.25">
      <c r="AQ3355" s="138" t="s">
        <v>54</v>
      </c>
      <c r="AR3355" s="35">
        <v>0</v>
      </c>
    </row>
    <row r="3356" spans="43:44" x14ac:dyDescent="0.25">
      <c r="AQ3356" s="139" t="s">
        <v>60</v>
      </c>
      <c r="AR3356" s="35">
        <v>0</v>
      </c>
    </row>
    <row r="3357" spans="43:44" x14ac:dyDescent="0.25">
      <c r="AQ3357" s="16">
        <v>840</v>
      </c>
      <c r="AR3357" s="35">
        <v>0</v>
      </c>
    </row>
    <row r="3358" spans="43:44" x14ac:dyDescent="0.25">
      <c r="AQ3358" s="136" t="s">
        <v>54</v>
      </c>
      <c r="AR3358" s="35">
        <v>0</v>
      </c>
    </row>
    <row r="3359" spans="43:44" x14ac:dyDescent="0.25">
      <c r="AQ3359" s="138" t="s">
        <v>54</v>
      </c>
      <c r="AR3359" s="35">
        <v>0</v>
      </c>
    </row>
    <row r="3360" spans="43:44" x14ac:dyDescent="0.25">
      <c r="AQ3360" s="139" t="s">
        <v>60</v>
      </c>
      <c r="AR3360" s="35">
        <v>0</v>
      </c>
    </row>
    <row r="3361" spans="43:44" x14ac:dyDescent="0.25">
      <c r="AQ3361" s="16">
        <v>841</v>
      </c>
      <c r="AR3361" s="35">
        <v>0</v>
      </c>
    </row>
    <row r="3362" spans="43:44" x14ac:dyDescent="0.25">
      <c r="AQ3362" s="136" t="s">
        <v>54</v>
      </c>
      <c r="AR3362" s="35">
        <v>0</v>
      </c>
    </row>
    <row r="3363" spans="43:44" x14ac:dyDescent="0.25">
      <c r="AQ3363" s="138" t="s">
        <v>54</v>
      </c>
      <c r="AR3363" s="35">
        <v>0</v>
      </c>
    </row>
    <row r="3364" spans="43:44" x14ac:dyDescent="0.25">
      <c r="AQ3364" s="139" t="s">
        <v>60</v>
      </c>
      <c r="AR3364" s="35">
        <v>0</v>
      </c>
    </row>
    <row r="3365" spans="43:44" x14ac:dyDescent="0.25">
      <c r="AQ3365" s="16">
        <v>842</v>
      </c>
      <c r="AR3365" s="35">
        <v>0</v>
      </c>
    </row>
    <row r="3366" spans="43:44" x14ac:dyDescent="0.25">
      <c r="AQ3366" s="136" t="s">
        <v>54</v>
      </c>
      <c r="AR3366" s="35">
        <v>0</v>
      </c>
    </row>
    <row r="3367" spans="43:44" x14ac:dyDescent="0.25">
      <c r="AQ3367" s="138" t="s">
        <v>54</v>
      </c>
      <c r="AR3367" s="35">
        <v>0</v>
      </c>
    </row>
    <row r="3368" spans="43:44" x14ac:dyDescent="0.25">
      <c r="AQ3368" s="139" t="s">
        <v>60</v>
      </c>
      <c r="AR3368" s="35">
        <v>0</v>
      </c>
    </row>
    <row r="3369" spans="43:44" x14ac:dyDescent="0.25">
      <c r="AQ3369" s="16">
        <v>843</v>
      </c>
      <c r="AR3369" s="35">
        <v>0</v>
      </c>
    </row>
    <row r="3370" spans="43:44" x14ac:dyDescent="0.25">
      <c r="AQ3370" s="136" t="s">
        <v>54</v>
      </c>
      <c r="AR3370" s="35">
        <v>0</v>
      </c>
    </row>
    <row r="3371" spans="43:44" x14ac:dyDescent="0.25">
      <c r="AQ3371" s="138" t="s">
        <v>54</v>
      </c>
      <c r="AR3371" s="35">
        <v>0</v>
      </c>
    </row>
    <row r="3372" spans="43:44" x14ac:dyDescent="0.25">
      <c r="AQ3372" s="139" t="s">
        <v>60</v>
      </c>
      <c r="AR3372" s="35">
        <v>0</v>
      </c>
    </row>
    <row r="3373" spans="43:44" x14ac:dyDescent="0.25">
      <c r="AQ3373" s="16">
        <v>844</v>
      </c>
      <c r="AR3373" s="35">
        <v>0</v>
      </c>
    </row>
    <row r="3374" spans="43:44" x14ac:dyDescent="0.25">
      <c r="AQ3374" s="136" t="s">
        <v>54</v>
      </c>
      <c r="AR3374" s="35">
        <v>0</v>
      </c>
    </row>
    <row r="3375" spans="43:44" x14ac:dyDescent="0.25">
      <c r="AQ3375" s="138" t="s">
        <v>54</v>
      </c>
      <c r="AR3375" s="35">
        <v>0</v>
      </c>
    </row>
    <row r="3376" spans="43:44" x14ac:dyDescent="0.25">
      <c r="AQ3376" s="139" t="s">
        <v>60</v>
      </c>
      <c r="AR3376" s="35">
        <v>0</v>
      </c>
    </row>
    <row r="3377" spans="43:44" x14ac:dyDescent="0.25">
      <c r="AQ3377" s="16">
        <v>845</v>
      </c>
      <c r="AR3377" s="35">
        <v>0</v>
      </c>
    </row>
    <row r="3378" spans="43:44" x14ac:dyDescent="0.25">
      <c r="AQ3378" s="136" t="s">
        <v>54</v>
      </c>
      <c r="AR3378" s="35">
        <v>0</v>
      </c>
    </row>
    <row r="3379" spans="43:44" x14ac:dyDescent="0.25">
      <c r="AQ3379" s="138" t="s">
        <v>54</v>
      </c>
      <c r="AR3379" s="35">
        <v>0</v>
      </c>
    </row>
    <row r="3380" spans="43:44" x14ac:dyDescent="0.25">
      <c r="AQ3380" s="139" t="s">
        <v>60</v>
      </c>
      <c r="AR3380" s="35">
        <v>0</v>
      </c>
    </row>
    <row r="3381" spans="43:44" x14ac:dyDescent="0.25">
      <c r="AQ3381" s="16">
        <v>846</v>
      </c>
      <c r="AR3381" s="35">
        <v>0</v>
      </c>
    </row>
    <row r="3382" spans="43:44" x14ac:dyDescent="0.25">
      <c r="AQ3382" s="136" t="s">
        <v>54</v>
      </c>
      <c r="AR3382" s="35">
        <v>0</v>
      </c>
    </row>
    <row r="3383" spans="43:44" x14ac:dyDescent="0.25">
      <c r="AQ3383" s="138" t="s">
        <v>54</v>
      </c>
      <c r="AR3383" s="35">
        <v>0</v>
      </c>
    </row>
    <row r="3384" spans="43:44" x14ac:dyDescent="0.25">
      <c r="AQ3384" s="139" t="s">
        <v>60</v>
      </c>
      <c r="AR3384" s="35">
        <v>0</v>
      </c>
    </row>
    <row r="3385" spans="43:44" x14ac:dyDescent="0.25">
      <c r="AQ3385" s="16">
        <v>847</v>
      </c>
      <c r="AR3385" s="35">
        <v>0</v>
      </c>
    </row>
    <row r="3386" spans="43:44" x14ac:dyDescent="0.25">
      <c r="AQ3386" s="136" t="s">
        <v>54</v>
      </c>
      <c r="AR3386" s="35">
        <v>0</v>
      </c>
    </row>
    <row r="3387" spans="43:44" x14ac:dyDescent="0.25">
      <c r="AQ3387" s="138" t="s">
        <v>54</v>
      </c>
      <c r="AR3387" s="35">
        <v>0</v>
      </c>
    </row>
    <row r="3388" spans="43:44" x14ac:dyDescent="0.25">
      <c r="AQ3388" s="139" t="s">
        <v>60</v>
      </c>
      <c r="AR3388" s="35">
        <v>0</v>
      </c>
    </row>
    <row r="3389" spans="43:44" x14ac:dyDescent="0.25">
      <c r="AQ3389" s="16">
        <v>848</v>
      </c>
      <c r="AR3389" s="35">
        <v>0</v>
      </c>
    </row>
    <row r="3390" spans="43:44" x14ac:dyDescent="0.25">
      <c r="AQ3390" s="136" t="s">
        <v>54</v>
      </c>
      <c r="AR3390" s="35">
        <v>0</v>
      </c>
    </row>
    <row r="3391" spans="43:44" x14ac:dyDescent="0.25">
      <c r="AQ3391" s="138" t="s">
        <v>54</v>
      </c>
      <c r="AR3391" s="35">
        <v>0</v>
      </c>
    </row>
    <row r="3392" spans="43:44" x14ac:dyDescent="0.25">
      <c r="AQ3392" s="139" t="s">
        <v>60</v>
      </c>
      <c r="AR3392" s="35">
        <v>0</v>
      </c>
    </row>
    <row r="3393" spans="43:44" x14ac:dyDescent="0.25">
      <c r="AQ3393" s="16">
        <v>849</v>
      </c>
      <c r="AR3393" s="35">
        <v>0</v>
      </c>
    </row>
    <row r="3394" spans="43:44" x14ac:dyDescent="0.25">
      <c r="AQ3394" s="136" t="s">
        <v>54</v>
      </c>
      <c r="AR3394" s="35">
        <v>0</v>
      </c>
    </row>
    <row r="3395" spans="43:44" x14ac:dyDescent="0.25">
      <c r="AQ3395" s="138" t="s">
        <v>54</v>
      </c>
      <c r="AR3395" s="35">
        <v>0</v>
      </c>
    </row>
    <row r="3396" spans="43:44" x14ac:dyDescent="0.25">
      <c r="AQ3396" s="139" t="s">
        <v>60</v>
      </c>
      <c r="AR3396" s="35">
        <v>0</v>
      </c>
    </row>
    <row r="3397" spans="43:44" x14ac:dyDescent="0.25">
      <c r="AQ3397" s="16">
        <v>850</v>
      </c>
      <c r="AR3397" s="35">
        <v>0</v>
      </c>
    </row>
    <row r="3398" spans="43:44" x14ac:dyDescent="0.25">
      <c r="AQ3398" s="136" t="s">
        <v>54</v>
      </c>
      <c r="AR3398" s="35">
        <v>0</v>
      </c>
    </row>
    <row r="3399" spans="43:44" x14ac:dyDescent="0.25">
      <c r="AQ3399" s="138" t="s">
        <v>54</v>
      </c>
      <c r="AR3399" s="35">
        <v>0</v>
      </c>
    </row>
    <row r="3400" spans="43:44" x14ac:dyDescent="0.25">
      <c r="AQ3400" s="139" t="s">
        <v>60</v>
      </c>
      <c r="AR3400" s="35">
        <v>0</v>
      </c>
    </row>
    <row r="3401" spans="43:44" x14ac:dyDescent="0.25">
      <c r="AQ3401" s="16">
        <v>851</v>
      </c>
      <c r="AR3401" s="35">
        <v>0</v>
      </c>
    </row>
    <row r="3402" spans="43:44" x14ac:dyDescent="0.25">
      <c r="AQ3402" s="136" t="s">
        <v>54</v>
      </c>
      <c r="AR3402" s="35">
        <v>0</v>
      </c>
    </row>
    <row r="3403" spans="43:44" x14ac:dyDescent="0.25">
      <c r="AQ3403" s="138" t="s">
        <v>54</v>
      </c>
      <c r="AR3403" s="35">
        <v>0</v>
      </c>
    </row>
    <row r="3404" spans="43:44" x14ac:dyDescent="0.25">
      <c r="AQ3404" s="139" t="s">
        <v>60</v>
      </c>
      <c r="AR3404" s="35">
        <v>0</v>
      </c>
    </row>
    <row r="3405" spans="43:44" x14ac:dyDescent="0.25">
      <c r="AQ3405" s="16">
        <v>852</v>
      </c>
      <c r="AR3405" s="35">
        <v>0</v>
      </c>
    </row>
    <row r="3406" spans="43:44" x14ac:dyDescent="0.25">
      <c r="AQ3406" s="136" t="s">
        <v>54</v>
      </c>
      <c r="AR3406" s="35">
        <v>0</v>
      </c>
    </row>
    <row r="3407" spans="43:44" x14ac:dyDescent="0.25">
      <c r="AQ3407" s="138" t="s">
        <v>54</v>
      </c>
      <c r="AR3407" s="35">
        <v>0</v>
      </c>
    </row>
    <row r="3408" spans="43:44" x14ac:dyDescent="0.25">
      <c r="AQ3408" s="139" t="s">
        <v>60</v>
      </c>
      <c r="AR3408" s="35">
        <v>0</v>
      </c>
    </row>
    <row r="3409" spans="43:44" x14ac:dyDescent="0.25">
      <c r="AQ3409" s="16">
        <v>853</v>
      </c>
      <c r="AR3409" s="35">
        <v>0</v>
      </c>
    </row>
    <row r="3410" spans="43:44" x14ac:dyDescent="0.25">
      <c r="AQ3410" s="136" t="s">
        <v>54</v>
      </c>
      <c r="AR3410" s="35">
        <v>0</v>
      </c>
    </row>
    <row r="3411" spans="43:44" x14ac:dyDescent="0.25">
      <c r="AQ3411" s="138" t="s">
        <v>54</v>
      </c>
      <c r="AR3411" s="35">
        <v>0</v>
      </c>
    </row>
    <row r="3412" spans="43:44" x14ac:dyDescent="0.25">
      <c r="AQ3412" s="139" t="s">
        <v>60</v>
      </c>
      <c r="AR3412" s="35">
        <v>0</v>
      </c>
    </row>
    <row r="3413" spans="43:44" x14ac:dyDescent="0.25">
      <c r="AQ3413" s="16">
        <v>854</v>
      </c>
      <c r="AR3413" s="35">
        <v>0</v>
      </c>
    </row>
    <row r="3414" spans="43:44" x14ac:dyDescent="0.25">
      <c r="AQ3414" s="136" t="s">
        <v>54</v>
      </c>
      <c r="AR3414" s="35">
        <v>0</v>
      </c>
    </row>
    <row r="3415" spans="43:44" x14ac:dyDescent="0.25">
      <c r="AQ3415" s="138" t="s">
        <v>54</v>
      </c>
      <c r="AR3415" s="35">
        <v>0</v>
      </c>
    </row>
    <row r="3416" spans="43:44" x14ac:dyDescent="0.25">
      <c r="AQ3416" s="139" t="s">
        <v>60</v>
      </c>
      <c r="AR3416" s="35">
        <v>0</v>
      </c>
    </row>
    <row r="3417" spans="43:44" x14ac:dyDescent="0.25">
      <c r="AQ3417" s="16">
        <v>855</v>
      </c>
      <c r="AR3417" s="35">
        <v>0</v>
      </c>
    </row>
    <row r="3418" spans="43:44" x14ac:dyDescent="0.25">
      <c r="AQ3418" s="136" t="s">
        <v>54</v>
      </c>
      <c r="AR3418" s="35">
        <v>0</v>
      </c>
    </row>
    <row r="3419" spans="43:44" x14ac:dyDescent="0.25">
      <c r="AQ3419" s="138" t="s">
        <v>54</v>
      </c>
      <c r="AR3419" s="35">
        <v>0</v>
      </c>
    </row>
    <row r="3420" spans="43:44" x14ac:dyDescent="0.25">
      <c r="AQ3420" s="139" t="s">
        <v>60</v>
      </c>
      <c r="AR3420" s="35">
        <v>0</v>
      </c>
    </row>
    <row r="3421" spans="43:44" x14ac:dyDescent="0.25">
      <c r="AQ3421" s="16">
        <v>856</v>
      </c>
      <c r="AR3421" s="35">
        <v>0</v>
      </c>
    </row>
    <row r="3422" spans="43:44" x14ac:dyDescent="0.25">
      <c r="AQ3422" s="136" t="s">
        <v>54</v>
      </c>
      <c r="AR3422" s="35">
        <v>0</v>
      </c>
    </row>
    <row r="3423" spans="43:44" x14ac:dyDescent="0.25">
      <c r="AQ3423" s="138" t="s">
        <v>54</v>
      </c>
      <c r="AR3423" s="35">
        <v>0</v>
      </c>
    </row>
    <row r="3424" spans="43:44" x14ac:dyDescent="0.25">
      <c r="AQ3424" s="139" t="s">
        <v>60</v>
      </c>
      <c r="AR3424" s="35">
        <v>0</v>
      </c>
    </row>
    <row r="3425" spans="43:44" x14ac:dyDescent="0.25">
      <c r="AQ3425" s="16">
        <v>857</v>
      </c>
      <c r="AR3425" s="35">
        <v>0</v>
      </c>
    </row>
    <row r="3426" spans="43:44" x14ac:dyDescent="0.25">
      <c r="AQ3426" s="136" t="s">
        <v>54</v>
      </c>
      <c r="AR3426" s="35">
        <v>0</v>
      </c>
    </row>
    <row r="3427" spans="43:44" x14ac:dyDescent="0.25">
      <c r="AQ3427" s="138" t="s">
        <v>54</v>
      </c>
      <c r="AR3427" s="35">
        <v>0</v>
      </c>
    </row>
    <row r="3428" spans="43:44" x14ac:dyDescent="0.25">
      <c r="AQ3428" s="139" t="s">
        <v>60</v>
      </c>
      <c r="AR3428" s="35">
        <v>0</v>
      </c>
    </row>
    <row r="3429" spans="43:44" x14ac:dyDescent="0.25">
      <c r="AQ3429" s="16">
        <v>858</v>
      </c>
      <c r="AR3429" s="35">
        <v>0</v>
      </c>
    </row>
    <row r="3430" spans="43:44" x14ac:dyDescent="0.25">
      <c r="AQ3430" s="136" t="s">
        <v>54</v>
      </c>
      <c r="AR3430" s="35">
        <v>0</v>
      </c>
    </row>
    <row r="3431" spans="43:44" x14ac:dyDescent="0.25">
      <c r="AQ3431" s="138" t="s">
        <v>54</v>
      </c>
      <c r="AR3431" s="35">
        <v>0</v>
      </c>
    </row>
    <row r="3432" spans="43:44" x14ac:dyDescent="0.25">
      <c r="AQ3432" s="139" t="s">
        <v>60</v>
      </c>
      <c r="AR3432" s="35">
        <v>0</v>
      </c>
    </row>
    <row r="3433" spans="43:44" x14ac:dyDescent="0.25">
      <c r="AQ3433" s="16">
        <v>859</v>
      </c>
      <c r="AR3433" s="35">
        <v>0</v>
      </c>
    </row>
    <row r="3434" spans="43:44" x14ac:dyDescent="0.25">
      <c r="AQ3434" s="136" t="s">
        <v>54</v>
      </c>
      <c r="AR3434" s="35">
        <v>0</v>
      </c>
    </row>
    <row r="3435" spans="43:44" x14ac:dyDescent="0.25">
      <c r="AQ3435" s="138" t="s">
        <v>54</v>
      </c>
      <c r="AR3435" s="35">
        <v>0</v>
      </c>
    </row>
    <row r="3436" spans="43:44" x14ac:dyDescent="0.25">
      <c r="AQ3436" s="139" t="s">
        <v>60</v>
      </c>
      <c r="AR3436" s="35">
        <v>0</v>
      </c>
    </row>
    <row r="3437" spans="43:44" x14ac:dyDescent="0.25">
      <c r="AQ3437" s="16">
        <v>860</v>
      </c>
      <c r="AR3437" s="35">
        <v>0</v>
      </c>
    </row>
    <row r="3438" spans="43:44" x14ac:dyDescent="0.25">
      <c r="AQ3438" s="136" t="s">
        <v>54</v>
      </c>
      <c r="AR3438" s="35">
        <v>0</v>
      </c>
    </row>
    <row r="3439" spans="43:44" x14ac:dyDescent="0.25">
      <c r="AQ3439" s="138" t="s">
        <v>54</v>
      </c>
      <c r="AR3439" s="35">
        <v>0</v>
      </c>
    </row>
    <row r="3440" spans="43:44" x14ac:dyDescent="0.25">
      <c r="AQ3440" s="139" t="s">
        <v>60</v>
      </c>
      <c r="AR3440" s="35">
        <v>0</v>
      </c>
    </row>
    <row r="3441" spans="43:44" x14ac:dyDescent="0.25">
      <c r="AQ3441" s="16">
        <v>861</v>
      </c>
      <c r="AR3441" s="35">
        <v>0</v>
      </c>
    </row>
    <row r="3442" spans="43:44" x14ac:dyDescent="0.25">
      <c r="AQ3442" s="136" t="s">
        <v>54</v>
      </c>
      <c r="AR3442" s="35">
        <v>0</v>
      </c>
    </row>
    <row r="3443" spans="43:44" x14ac:dyDescent="0.25">
      <c r="AQ3443" s="138" t="s">
        <v>54</v>
      </c>
      <c r="AR3443" s="35">
        <v>0</v>
      </c>
    </row>
    <row r="3444" spans="43:44" x14ac:dyDescent="0.25">
      <c r="AQ3444" s="139" t="s">
        <v>60</v>
      </c>
      <c r="AR3444" s="35">
        <v>0</v>
      </c>
    </row>
    <row r="3445" spans="43:44" x14ac:dyDescent="0.25">
      <c r="AQ3445" s="16">
        <v>862</v>
      </c>
      <c r="AR3445" s="35">
        <v>0</v>
      </c>
    </row>
    <row r="3446" spans="43:44" x14ac:dyDescent="0.25">
      <c r="AQ3446" s="136" t="s">
        <v>54</v>
      </c>
      <c r="AR3446" s="35">
        <v>0</v>
      </c>
    </row>
    <row r="3447" spans="43:44" x14ac:dyDescent="0.25">
      <c r="AQ3447" s="138" t="s">
        <v>54</v>
      </c>
      <c r="AR3447" s="35">
        <v>0</v>
      </c>
    </row>
    <row r="3448" spans="43:44" x14ac:dyDescent="0.25">
      <c r="AQ3448" s="139" t="s">
        <v>60</v>
      </c>
      <c r="AR3448" s="35">
        <v>0</v>
      </c>
    </row>
    <row r="3449" spans="43:44" x14ac:dyDescent="0.25">
      <c r="AQ3449" s="16">
        <v>863</v>
      </c>
      <c r="AR3449" s="35">
        <v>0</v>
      </c>
    </row>
    <row r="3450" spans="43:44" x14ac:dyDescent="0.25">
      <c r="AQ3450" s="136" t="s">
        <v>54</v>
      </c>
      <c r="AR3450" s="35">
        <v>0</v>
      </c>
    </row>
    <row r="3451" spans="43:44" x14ac:dyDescent="0.25">
      <c r="AQ3451" s="138" t="s">
        <v>54</v>
      </c>
      <c r="AR3451" s="35">
        <v>0</v>
      </c>
    </row>
    <row r="3452" spans="43:44" x14ac:dyDescent="0.25">
      <c r="AQ3452" s="139" t="s">
        <v>60</v>
      </c>
      <c r="AR3452" s="35">
        <v>0</v>
      </c>
    </row>
    <row r="3453" spans="43:44" x14ac:dyDescent="0.25">
      <c r="AQ3453" s="16">
        <v>864</v>
      </c>
      <c r="AR3453" s="35">
        <v>0</v>
      </c>
    </row>
    <row r="3454" spans="43:44" x14ac:dyDescent="0.25">
      <c r="AQ3454" s="136" t="s">
        <v>54</v>
      </c>
      <c r="AR3454" s="35">
        <v>0</v>
      </c>
    </row>
    <row r="3455" spans="43:44" x14ac:dyDescent="0.25">
      <c r="AQ3455" s="138" t="s">
        <v>54</v>
      </c>
      <c r="AR3455" s="35">
        <v>0</v>
      </c>
    </row>
    <row r="3456" spans="43:44" x14ac:dyDescent="0.25">
      <c r="AQ3456" s="139" t="s">
        <v>60</v>
      </c>
      <c r="AR3456" s="35">
        <v>0</v>
      </c>
    </row>
    <row r="3457" spans="43:44" x14ac:dyDescent="0.25">
      <c r="AQ3457" s="16">
        <v>865</v>
      </c>
      <c r="AR3457" s="35">
        <v>0</v>
      </c>
    </row>
    <row r="3458" spans="43:44" x14ac:dyDescent="0.25">
      <c r="AQ3458" s="136" t="s">
        <v>54</v>
      </c>
      <c r="AR3458" s="35">
        <v>0</v>
      </c>
    </row>
    <row r="3459" spans="43:44" x14ac:dyDescent="0.25">
      <c r="AQ3459" s="138" t="s">
        <v>54</v>
      </c>
      <c r="AR3459" s="35">
        <v>0</v>
      </c>
    </row>
    <row r="3460" spans="43:44" x14ac:dyDescent="0.25">
      <c r="AQ3460" s="139" t="s">
        <v>60</v>
      </c>
      <c r="AR3460" s="35">
        <v>0</v>
      </c>
    </row>
    <row r="3461" spans="43:44" x14ac:dyDescent="0.25">
      <c r="AQ3461" s="16">
        <v>866</v>
      </c>
      <c r="AR3461" s="35">
        <v>0</v>
      </c>
    </row>
    <row r="3462" spans="43:44" x14ac:dyDescent="0.25">
      <c r="AQ3462" s="136" t="s">
        <v>54</v>
      </c>
      <c r="AR3462" s="35">
        <v>0</v>
      </c>
    </row>
    <row r="3463" spans="43:44" x14ac:dyDescent="0.25">
      <c r="AQ3463" s="138" t="s">
        <v>54</v>
      </c>
      <c r="AR3463" s="35">
        <v>0</v>
      </c>
    </row>
    <row r="3464" spans="43:44" x14ac:dyDescent="0.25">
      <c r="AQ3464" s="139" t="s">
        <v>60</v>
      </c>
      <c r="AR3464" s="35">
        <v>0</v>
      </c>
    </row>
    <row r="3465" spans="43:44" x14ac:dyDescent="0.25">
      <c r="AQ3465" s="16">
        <v>867</v>
      </c>
      <c r="AR3465" s="35">
        <v>0</v>
      </c>
    </row>
    <row r="3466" spans="43:44" x14ac:dyDescent="0.25">
      <c r="AQ3466" s="136" t="s">
        <v>54</v>
      </c>
      <c r="AR3466" s="35">
        <v>0</v>
      </c>
    </row>
    <row r="3467" spans="43:44" x14ac:dyDescent="0.25">
      <c r="AQ3467" s="138" t="s">
        <v>54</v>
      </c>
      <c r="AR3467" s="35">
        <v>0</v>
      </c>
    </row>
    <row r="3468" spans="43:44" x14ac:dyDescent="0.25">
      <c r="AQ3468" s="139" t="s">
        <v>60</v>
      </c>
      <c r="AR3468" s="35">
        <v>0</v>
      </c>
    </row>
    <row r="3469" spans="43:44" x14ac:dyDescent="0.25">
      <c r="AQ3469" s="16">
        <v>868</v>
      </c>
      <c r="AR3469" s="35">
        <v>0</v>
      </c>
    </row>
    <row r="3470" spans="43:44" x14ac:dyDescent="0.25">
      <c r="AQ3470" s="136" t="s">
        <v>54</v>
      </c>
      <c r="AR3470" s="35">
        <v>0</v>
      </c>
    </row>
    <row r="3471" spans="43:44" x14ac:dyDescent="0.25">
      <c r="AQ3471" s="138" t="s">
        <v>54</v>
      </c>
      <c r="AR3471" s="35">
        <v>0</v>
      </c>
    </row>
    <row r="3472" spans="43:44" x14ac:dyDescent="0.25">
      <c r="AQ3472" s="139" t="s">
        <v>60</v>
      </c>
      <c r="AR3472" s="35">
        <v>0</v>
      </c>
    </row>
    <row r="3473" spans="43:44" x14ac:dyDescent="0.25">
      <c r="AQ3473" s="16">
        <v>869</v>
      </c>
      <c r="AR3473" s="35">
        <v>0</v>
      </c>
    </row>
    <row r="3474" spans="43:44" x14ac:dyDescent="0.25">
      <c r="AQ3474" s="136" t="s">
        <v>54</v>
      </c>
      <c r="AR3474" s="35">
        <v>0</v>
      </c>
    </row>
    <row r="3475" spans="43:44" x14ac:dyDescent="0.25">
      <c r="AQ3475" s="138" t="s">
        <v>54</v>
      </c>
      <c r="AR3475" s="35">
        <v>0</v>
      </c>
    </row>
    <row r="3476" spans="43:44" x14ac:dyDescent="0.25">
      <c r="AQ3476" s="139" t="s">
        <v>60</v>
      </c>
      <c r="AR3476" s="35">
        <v>0</v>
      </c>
    </row>
    <row r="3477" spans="43:44" x14ac:dyDescent="0.25">
      <c r="AQ3477" s="16">
        <v>870</v>
      </c>
      <c r="AR3477" s="35">
        <v>0</v>
      </c>
    </row>
    <row r="3478" spans="43:44" x14ac:dyDescent="0.25">
      <c r="AQ3478" s="136" t="s">
        <v>54</v>
      </c>
      <c r="AR3478" s="35">
        <v>0</v>
      </c>
    </row>
    <row r="3479" spans="43:44" x14ac:dyDescent="0.25">
      <c r="AQ3479" s="138" t="s">
        <v>54</v>
      </c>
      <c r="AR3479" s="35">
        <v>0</v>
      </c>
    </row>
    <row r="3480" spans="43:44" x14ac:dyDescent="0.25">
      <c r="AQ3480" s="139" t="s">
        <v>60</v>
      </c>
      <c r="AR3480" s="35">
        <v>0</v>
      </c>
    </row>
    <row r="3481" spans="43:44" x14ac:dyDescent="0.25">
      <c r="AQ3481" s="16">
        <v>871</v>
      </c>
      <c r="AR3481" s="35">
        <v>0</v>
      </c>
    </row>
    <row r="3482" spans="43:44" x14ac:dyDescent="0.25">
      <c r="AQ3482" s="136" t="s">
        <v>54</v>
      </c>
      <c r="AR3482" s="35">
        <v>0</v>
      </c>
    </row>
    <row r="3483" spans="43:44" x14ac:dyDescent="0.25">
      <c r="AQ3483" s="138" t="s">
        <v>54</v>
      </c>
      <c r="AR3483" s="35">
        <v>0</v>
      </c>
    </row>
    <row r="3484" spans="43:44" x14ac:dyDescent="0.25">
      <c r="AQ3484" s="139" t="s">
        <v>60</v>
      </c>
      <c r="AR3484" s="35">
        <v>0</v>
      </c>
    </row>
    <row r="3485" spans="43:44" x14ac:dyDescent="0.25">
      <c r="AQ3485" s="16">
        <v>872</v>
      </c>
      <c r="AR3485" s="35">
        <v>0</v>
      </c>
    </row>
    <row r="3486" spans="43:44" x14ac:dyDescent="0.25">
      <c r="AQ3486" s="136" t="s">
        <v>54</v>
      </c>
      <c r="AR3486" s="35">
        <v>0</v>
      </c>
    </row>
    <row r="3487" spans="43:44" x14ac:dyDescent="0.25">
      <c r="AQ3487" s="138" t="s">
        <v>54</v>
      </c>
      <c r="AR3487" s="35">
        <v>0</v>
      </c>
    </row>
    <row r="3488" spans="43:44" x14ac:dyDescent="0.25">
      <c r="AQ3488" s="139" t="s">
        <v>60</v>
      </c>
      <c r="AR3488" s="35">
        <v>0</v>
      </c>
    </row>
    <row r="3489" spans="43:44" x14ac:dyDescent="0.25">
      <c r="AQ3489" s="16">
        <v>873</v>
      </c>
      <c r="AR3489" s="35">
        <v>0</v>
      </c>
    </row>
    <row r="3490" spans="43:44" x14ac:dyDescent="0.25">
      <c r="AQ3490" s="136" t="s">
        <v>54</v>
      </c>
      <c r="AR3490" s="35">
        <v>0</v>
      </c>
    </row>
    <row r="3491" spans="43:44" x14ac:dyDescent="0.25">
      <c r="AQ3491" s="138" t="s">
        <v>54</v>
      </c>
      <c r="AR3491" s="35">
        <v>0</v>
      </c>
    </row>
    <row r="3492" spans="43:44" x14ac:dyDescent="0.25">
      <c r="AQ3492" s="139" t="s">
        <v>60</v>
      </c>
      <c r="AR3492" s="35">
        <v>0</v>
      </c>
    </row>
    <row r="3493" spans="43:44" x14ac:dyDescent="0.25">
      <c r="AQ3493" s="16">
        <v>874</v>
      </c>
      <c r="AR3493" s="35">
        <v>0</v>
      </c>
    </row>
    <row r="3494" spans="43:44" x14ac:dyDescent="0.25">
      <c r="AQ3494" s="136" t="s">
        <v>54</v>
      </c>
      <c r="AR3494" s="35">
        <v>0</v>
      </c>
    </row>
    <row r="3495" spans="43:44" x14ac:dyDescent="0.25">
      <c r="AQ3495" s="138" t="s">
        <v>54</v>
      </c>
      <c r="AR3495" s="35">
        <v>0</v>
      </c>
    </row>
    <row r="3496" spans="43:44" x14ac:dyDescent="0.25">
      <c r="AQ3496" s="139" t="s">
        <v>60</v>
      </c>
      <c r="AR3496" s="35">
        <v>0</v>
      </c>
    </row>
    <row r="3497" spans="43:44" x14ac:dyDescent="0.25">
      <c r="AQ3497" s="16">
        <v>875</v>
      </c>
      <c r="AR3497" s="35">
        <v>0</v>
      </c>
    </row>
    <row r="3498" spans="43:44" x14ac:dyDescent="0.25">
      <c r="AQ3498" s="136" t="s">
        <v>54</v>
      </c>
      <c r="AR3498" s="35">
        <v>0</v>
      </c>
    </row>
    <row r="3499" spans="43:44" x14ac:dyDescent="0.25">
      <c r="AQ3499" s="138" t="s">
        <v>54</v>
      </c>
      <c r="AR3499" s="35">
        <v>0</v>
      </c>
    </row>
    <row r="3500" spans="43:44" x14ac:dyDescent="0.25">
      <c r="AQ3500" s="139" t="s">
        <v>60</v>
      </c>
      <c r="AR3500" s="35">
        <v>0</v>
      </c>
    </row>
    <row r="3501" spans="43:44" x14ac:dyDescent="0.25">
      <c r="AQ3501" s="16">
        <v>876</v>
      </c>
      <c r="AR3501" s="35">
        <v>0</v>
      </c>
    </row>
    <row r="3502" spans="43:44" x14ac:dyDescent="0.25">
      <c r="AQ3502" s="136" t="s">
        <v>54</v>
      </c>
      <c r="AR3502" s="35">
        <v>0</v>
      </c>
    </row>
    <row r="3503" spans="43:44" x14ac:dyDescent="0.25">
      <c r="AQ3503" s="138" t="s">
        <v>54</v>
      </c>
      <c r="AR3503" s="35">
        <v>0</v>
      </c>
    </row>
    <row r="3504" spans="43:44" x14ac:dyDescent="0.25">
      <c r="AQ3504" s="139" t="s">
        <v>60</v>
      </c>
      <c r="AR3504" s="35">
        <v>0</v>
      </c>
    </row>
    <row r="3505" spans="43:44" x14ac:dyDescent="0.25">
      <c r="AQ3505" s="16">
        <v>877</v>
      </c>
      <c r="AR3505" s="35">
        <v>0</v>
      </c>
    </row>
    <row r="3506" spans="43:44" x14ac:dyDescent="0.25">
      <c r="AQ3506" s="136" t="s">
        <v>54</v>
      </c>
      <c r="AR3506" s="35">
        <v>0</v>
      </c>
    </row>
    <row r="3507" spans="43:44" x14ac:dyDescent="0.25">
      <c r="AQ3507" s="138" t="s">
        <v>54</v>
      </c>
      <c r="AR3507" s="35">
        <v>0</v>
      </c>
    </row>
    <row r="3508" spans="43:44" x14ac:dyDescent="0.25">
      <c r="AQ3508" s="139" t="s">
        <v>60</v>
      </c>
      <c r="AR3508" s="35">
        <v>0</v>
      </c>
    </row>
    <row r="3509" spans="43:44" x14ac:dyDescent="0.25">
      <c r="AQ3509" s="16">
        <v>878</v>
      </c>
      <c r="AR3509" s="35">
        <v>0</v>
      </c>
    </row>
    <row r="3510" spans="43:44" x14ac:dyDescent="0.25">
      <c r="AQ3510" s="136" t="s">
        <v>54</v>
      </c>
      <c r="AR3510" s="35">
        <v>0</v>
      </c>
    </row>
    <row r="3511" spans="43:44" x14ac:dyDescent="0.25">
      <c r="AQ3511" s="138" t="s">
        <v>54</v>
      </c>
      <c r="AR3511" s="35">
        <v>0</v>
      </c>
    </row>
    <row r="3512" spans="43:44" x14ac:dyDescent="0.25">
      <c r="AQ3512" s="139" t="s">
        <v>60</v>
      </c>
      <c r="AR3512" s="35">
        <v>0</v>
      </c>
    </row>
    <row r="3513" spans="43:44" x14ac:dyDescent="0.25">
      <c r="AQ3513" s="16">
        <v>879</v>
      </c>
      <c r="AR3513" s="35">
        <v>0</v>
      </c>
    </row>
    <row r="3514" spans="43:44" x14ac:dyDescent="0.25">
      <c r="AQ3514" s="136" t="s">
        <v>54</v>
      </c>
      <c r="AR3514" s="35">
        <v>0</v>
      </c>
    </row>
    <row r="3515" spans="43:44" x14ac:dyDescent="0.25">
      <c r="AQ3515" s="138" t="s">
        <v>54</v>
      </c>
      <c r="AR3515" s="35">
        <v>0</v>
      </c>
    </row>
    <row r="3516" spans="43:44" x14ac:dyDescent="0.25">
      <c r="AQ3516" s="139" t="s">
        <v>60</v>
      </c>
      <c r="AR3516" s="35">
        <v>0</v>
      </c>
    </row>
    <row r="3517" spans="43:44" x14ac:dyDescent="0.25">
      <c r="AQ3517" s="16">
        <v>880</v>
      </c>
      <c r="AR3517" s="35">
        <v>0</v>
      </c>
    </row>
    <row r="3518" spans="43:44" x14ac:dyDescent="0.25">
      <c r="AQ3518" s="136" t="s">
        <v>54</v>
      </c>
      <c r="AR3518" s="35">
        <v>0</v>
      </c>
    </row>
    <row r="3519" spans="43:44" x14ac:dyDescent="0.25">
      <c r="AQ3519" s="138" t="s">
        <v>54</v>
      </c>
      <c r="AR3519" s="35">
        <v>0</v>
      </c>
    </row>
    <row r="3520" spans="43:44" x14ac:dyDescent="0.25">
      <c r="AQ3520" s="139" t="s">
        <v>60</v>
      </c>
      <c r="AR3520" s="35">
        <v>0</v>
      </c>
    </row>
    <row r="3521" spans="43:44" x14ac:dyDescent="0.25">
      <c r="AQ3521" s="16">
        <v>881</v>
      </c>
      <c r="AR3521" s="35">
        <v>0</v>
      </c>
    </row>
    <row r="3522" spans="43:44" x14ac:dyDescent="0.25">
      <c r="AQ3522" s="136" t="s">
        <v>54</v>
      </c>
      <c r="AR3522" s="35">
        <v>0</v>
      </c>
    </row>
    <row r="3523" spans="43:44" x14ac:dyDescent="0.25">
      <c r="AQ3523" s="138" t="s">
        <v>54</v>
      </c>
      <c r="AR3523" s="35">
        <v>0</v>
      </c>
    </row>
    <row r="3524" spans="43:44" x14ac:dyDescent="0.25">
      <c r="AQ3524" s="139" t="s">
        <v>60</v>
      </c>
      <c r="AR3524" s="35">
        <v>0</v>
      </c>
    </row>
    <row r="3525" spans="43:44" x14ac:dyDescent="0.25">
      <c r="AQ3525" s="16">
        <v>882</v>
      </c>
      <c r="AR3525" s="35">
        <v>0</v>
      </c>
    </row>
    <row r="3526" spans="43:44" x14ac:dyDescent="0.25">
      <c r="AQ3526" s="136" t="s">
        <v>54</v>
      </c>
      <c r="AR3526" s="35">
        <v>0</v>
      </c>
    </row>
    <row r="3527" spans="43:44" x14ac:dyDescent="0.25">
      <c r="AQ3527" s="138" t="s">
        <v>54</v>
      </c>
      <c r="AR3527" s="35">
        <v>0</v>
      </c>
    </row>
    <row r="3528" spans="43:44" x14ac:dyDescent="0.25">
      <c r="AQ3528" s="139" t="s">
        <v>60</v>
      </c>
      <c r="AR3528" s="35">
        <v>0</v>
      </c>
    </row>
    <row r="3529" spans="43:44" x14ac:dyDescent="0.25">
      <c r="AQ3529" s="16">
        <v>883</v>
      </c>
      <c r="AR3529" s="35">
        <v>0</v>
      </c>
    </row>
    <row r="3530" spans="43:44" x14ac:dyDescent="0.25">
      <c r="AQ3530" s="136" t="s">
        <v>54</v>
      </c>
      <c r="AR3530" s="35">
        <v>0</v>
      </c>
    </row>
    <row r="3531" spans="43:44" x14ac:dyDescent="0.25">
      <c r="AQ3531" s="138" t="s">
        <v>54</v>
      </c>
      <c r="AR3531" s="35">
        <v>0</v>
      </c>
    </row>
    <row r="3532" spans="43:44" x14ac:dyDescent="0.25">
      <c r="AQ3532" s="139" t="s">
        <v>60</v>
      </c>
      <c r="AR3532" s="35">
        <v>0</v>
      </c>
    </row>
    <row r="3533" spans="43:44" x14ac:dyDescent="0.25">
      <c r="AQ3533" s="16">
        <v>884</v>
      </c>
      <c r="AR3533" s="35">
        <v>0</v>
      </c>
    </row>
    <row r="3534" spans="43:44" x14ac:dyDescent="0.25">
      <c r="AQ3534" s="136" t="s">
        <v>54</v>
      </c>
      <c r="AR3534" s="35">
        <v>0</v>
      </c>
    </row>
    <row r="3535" spans="43:44" x14ac:dyDescent="0.25">
      <c r="AQ3535" s="138" t="s">
        <v>54</v>
      </c>
      <c r="AR3535" s="35">
        <v>0</v>
      </c>
    </row>
    <row r="3536" spans="43:44" x14ac:dyDescent="0.25">
      <c r="AQ3536" s="139" t="s">
        <v>60</v>
      </c>
      <c r="AR3536" s="35">
        <v>0</v>
      </c>
    </row>
    <row r="3537" spans="43:44" x14ac:dyDescent="0.25">
      <c r="AQ3537" s="16">
        <v>885</v>
      </c>
      <c r="AR3537" s="35">
        <v>0</v>
      </c>
    </row>
    <row r="3538" spans="43:44" x14ac:dyDescent="0.25">
      <c r="AQ3538" s="136" t="s">
        <v>54</v>
      </c>
      <c r="AR3538" s="35">
        <v>0</v>
      </c>
    </row>
    <row r="3539" spans="43:44" x14ac:dyDescent="0.25">
      <c r="AQ3539" s="138" t="s">
        <v>54</v>
      </c>
      <c r="AR3539" s="35">
        <v>0</v>
      </c>
    </row>
    <row r="3540" spans="43:44" x14ac:dyDescent="0.25">
      <c r="AQ3540" s="139" t="s">
        <v>60</v>
      </c>
      <c r="AR3540" s="35">
        <v>0</v>
      </c>
    </row>
    <row r="3541" spans="43:44" x14ac:dyDescent="0.25">
      <c r="AQ3541" s="16">
        <v>886</v>
      </c>
      <c r="AR3541" s="35">
        <v>0</v>
      </c>
    </row>
    <row r="3542" spans="43:44" x14ac:dyDescent="0.25">
      <c r="AQ3542" s="136" t="s">
        <v>54</v>
      </c>
      <c r="AR3542" s="35">
        <v>0</v>
      </c>
    </row>
    <row r="3543" spans="43:44" x14ac:dyDescent="0.25">
      <c r="AQ3543" s="138" t="s">
        <v>54</v>
      </c>
      <c r="AR3543" s="35">
        <v>0</v>
      </c>
    </row>
    <row r="3544" spans="43:44" x14ac:dyDescent="0.25">
      <c r="AQ3544" s="139" t="s">
        <v>60</v>
      </c>
      <c r="AR3544" s="35">
        <v>0</v>
      </c>
    </row>
    <row r="3545" spans="43:44" x14ac:dyDescent="0.25">
      <c r="AQ3545" s="16">
        <v>887</v>
      </c>
      <c r="AR3545" s="35">
        <v>0</v>
      </c>
    </row>
    <row r="3546" spans="43:44" x14ac:dyDescent="0.25">
      <c r="AQ3546" s="136" t="s">
        <v>54</v>
      </c>
      <c r="AR3546" s="35">
        <v>0</v>
      </c>
    </row>
    <row r="3547" spans="43:44" x14ac:dyDescent="0.25">
      <c r="AQ3547" s="138" t="s">
        <v>54</v>
      </c>
      <c r="AR3547" s="35">
        <v>0</v>
      </c>
    </row>
    <row r="3548" spans="43:44" x14ac:dyDescent="0.25">
      <c r="AQ3548" s="139" t="s">
        <v>60</v>
      </c>
      <c r="AR3548" s="35">
        <v>0</v>
      </c>
    </row>
    <row r="3549" spans="43:44" x14ac:dyDescent="0.25">
      <c r="AQ3549" s="16">
        <v>888</v>
      </c>
      <c r="AR3549" s="35">
        <v>0</v>
      </c>
    </row>
    <row r="3550" spans="43:44" x14ac:dyDescent="0.25">
      <c r="AQ3550" s="136" t="s">
        <v>54</v>
      </c>
      <c r="AR3550" s="35">
        <v>0</v>
      </c>
    </row>
    <row r="3551" spans="43:44" x14ac:dyDescent="0.25">
      <c r="AQ3551" s="138" t="s">
        <v>54</v>
      </c>
      <c r="AR3551" s="35">
        <v>0</v>
      </c>
    </row>
    <row r="3552" spans="43:44" x14ac:dyDescent="0.25">
      <c r="AQ3552" s="139" t="s">
        <v>60</v>
      </c>
      <c r="AR3552" s="35">
        <v>0</v>
      </c>
    </row>
    <row r="3553" spans="43:44" x14ac:dyDescent="0.25">
      <c r="AQ3553" s="16">
        <v>889</v>
      </c>
      <c r="AR3553" s="35">
        <v>0</v>
      </c>
    </row>
    <row r="3554" spans="43:44" x14ac:dyDescent="0.25">
      <c r="AQ3554" s="136" t="s">
        <v>54</v>
      </c>
      <c r="AR3554" s="35">
        <v>0</v>
      </c>
    </row>
    <row r="3555" spans="43:44" x14ac:dyDescent="0.25">
      <c r="AQ3555" s="138" t="s">
        <v>54</v>
      </c>
      <c r="AR3555" s="35">
        <v>0</v>
      </c>
    </row>
    <row r="3556" spans="43:44" x14ac:dyDescent="0.25">
      <c r="AQ3556" s="139" t="s">
        <v>60</v>
      </c>
      <c r="AR3556" s="35">
        <v>0</v>
      </c>
    </row>
    <row r="3557" spans="43:44" x14ac:dyDescent="0.25">
      <c r="AQ3557" s="16">
        <v>890</v>
      </c>
      <c r="AR3557" s="35">
        <v>0</v>
      </c>
    </row>
    <row r="3558" spans="43:44" x14ac:dyDescent="0.25">
      <c r="AQ3558" s="136" t="s">
        <v>54</v>
      </c>
      <c r="AR3558" s="35">
        <v>0</v>
      </c>
    </row>
    <row r="3559" spans="43:44" x14ac:dyDescent="0.25">
      <c r="AQ3559" s="138" t="s">
        <v>54</v>
      </c>
      <c r="AR3559" s="35">
        <v>0</v>
      </c>
    </row>
    <row r="3560" spans="43:44" x14ac:dyDescent="0.25">
      <c r="AQ3560" s="139" t="s">
        <v>60</v>
      </c>
      <c r="AR3560" s="35">
        <v>0</v>
      </c>
    </row>
    <row r="3561" spans="43:44" x14ac:dyDescent="0.25">
      <c r="AQ3561" s="16">
        <v>891</v>
      </c>
      <c r="AR3561" s="35">
        <v>0</v>
      </c>
    </row>
    <row r="3562" spans="43:44" x14ac:dyDescent="0.25">
      <c r="AQ3562" s="136" t="s">
        <v>54</v>
      </c>
      <c r="AR3562" s="35">
        <v>0</v>
      </c>
    </row>
    <row r="3563" spans="43:44" x14ac:dyDescent="0.25">
      <c r="AQ3563" s="138" t="s">
        <v>54</v>
      </c>
      <c r="AR3563" s="35">
        <v>0</v>
      </c>
    </row>
    <row r="3564" spans="43:44" x14ac:dyDescent="0.25">
      <c r="AQ3564" s="139" t="s">
        <v>60</v>
      </c>
      <c r="AR3564" s="35">
        <v>0</v>
      </c>
    </row>
    <row r="3565" spans="43:44" x14ac:dyDescent="0.25">
      <c r="AQ3565" s="16">
        <v>892</v>
      </c>
      <c r="AR3565" s="35">
        <v>0</v>
      </c>
    </row>
    <row r="3566" spans="43:44" x14ac:dyDescent="0.25">
      <c r="AQ3566" s="136" t="s">
        <v>54</v>
      </c>
      <c r="AR3566" s="35">
        <v>0</v>
      </c>
    </row>
    <row r="3567" spans="43:44" x14ac:dyDescent="0.25">
      <c r="AQ3567" s="138" t="s">
        <v>54</v>
      </c>
      <c r="AR3567" s="35">
        <v>0</v>
      </c>
    </row>
    <row r="3568" spans="43:44" x14ac:dyDescent="0.25">
      <c r="AQ3568" s="139" t="s">
        <v>60</v>
      </c>
      <c r="AR3568" s="35">
        <v>0</v>
      </c>
    </row>
    <row r="3569" spans="43:44" x14ac:dyDescent="0.25">
      <c r="AQ3569" s="16">
        <v>893</v>
      </c>
      <c r="AR3569" s="35">
        <v>0</v>
      </c>
    </row>
    <row r="3570" spans="43:44" x14ac:dyDescent="0.25">
      <c r="AQ3570" s="136" t="s">
        <v>54</v>
      </c>
      <c r="AR3570" s="35">
        <v>0</v>
      </c>
    </row>
    <row r="3571" spans="43:44" x14ac:dyDescent="0.25">
      <c r="AQ3571" s="138" t="s">
        <v>54</v>
      </c>
      <c r="AR3571" s="35">
        <v>0</v>
      </c>
    </row>
    <row r="3572" spans="43:44" x14ac:dyDescent="0.25">
      <c r="AQ3572" s="139" t="s">
        <v>60</v>
      </c>
      <c r="AR3572" s="35">
        <v>0</v>
      </c>
    </row>
    <row r="3573" spans="43:44" x14ac:dyDescent="0.25">
      <c r="AQ3573" s="16">
        <v>894</v>
      </c>
      <c r="AR3573" s="35">
        <v>0</v>
      </c>
    </row>
    <row r="3574" spans="43:44" x14ac:dyDescent="0.25">
      <c r="AQ3574" s="136" t="s">
        <v>54</v>
      </c>
      <c r="AR3574" s="35">
        <v>0</v>
      </c>
    </row>
    <row r="3575" spans="43:44" x14ac:dyDescent="0.25">
      <c r="AQ3575" s="138" t="s">
        <v>54</v>
      </c>
      <c r="AR3575" s="35">
        <v>0</v>
      </c>
    </row>
    <row r="3576" spans="43:44" x14ac:dyDescent="0.25">
      <c r="AQ3576" s="139" t="s">
        <v>60</v>
      </c>
      <c r="AR3576" s="35">
        <v>0</v>
      </c>
    </row>
    <row r="3577" spans="43:44" x14ac:dyDescent="0.25">
      <c r="AQ3577" s="16">
        <v>895</v>
      </c>
      <c r="AR3577" s="35">
        <v>0</v>
      </c>
    </row>
    <row r="3578" spans="43:44" x14ac:dyDescent="0.25">
      <c r="AQ3578" s="136" t="s">
        <v>54</v>
      </c>
      <c r="AR3578" s="35">
        <v>0</v>
      </c>
    </row>
    <row r="3579" spans="43:44" x14ac:dyDescent="0.25">
      <c r="AQ3579" s="138" t="s">
        <v>54</v>
      </c>
      <c r="AR3579" s="35">
        <v>0</v>
      </c>
    </row>
    <row r="3580" spans="43:44" x14ac:dyDescent="0.25">
      <c r="AQ3580" s="139" t="s">
        <v>60</v>
      </c>
      <c r="AR3580" s="35">
        <v>0</v>
      </c>
    </row>
    <row r="3581" spans="43:44" x14ac:dyDescent="0.25">
      <c r="AQ3581" s="16">
        <v>896</v>
      </c>
      <c r="AR3581" s="35">
        <v>0</v>
      </c>
    </row>
    <row r="3582" spans="43:44" x14ac:dyDescent="0.25">
      <c r="AQ3582" s="136" t="s">
        <v>54</v>
      </c>
      <c r="AR3582" s="35">
        <v>0</v>
      </c>
    </row>
    <row r="3583" spans="43:44" x14ac:dyDescent="0.25">
      <c r="AQ3583" s="138" t="s">
        <v>54</v>
      </c>
      <c r="AR3583" s="35">
        <v>0</v>
      </c>
    </row>
    <row r="3584" spans="43:44" x14ac:dyDescent="0.25">
      <c r="AQ3584" s="139" t="s">
        <v>60</v>
      </c>
      <c r="AR3584" s="35">
        <v>0</v>
      </c>
    </row>
    <row r="3585" spans="43:44" x14ac:dyDescent="0.25">
      <c r="AQ3585" s="16">
        <v>897</v>
      </c>
      <c r="AR3585" s="35">
        <v>0</v>
      </c>
    </row>
    <row r="3586" spans="43:44" x14ac:dyDescent="0.25">
      <c r="AQ3586" s="136" t="s">
        <v>54</v>
      </c>
      <c r="AR3586" s="35">
        <v>0</v>
      </c>
    </row>
    <row r="3587" spans="43:44" x14ac:dyDescent="0.25">
      <c r="AQ3587" s="138" t="s">
        <v>54</v>
      </c>
      <c r="AR3587" s="35">
        <v>0</v>
      </c>
    </row>
    <row r="3588" spans="43:44" x14ac:dyDescent="0.25">
      <c r="AQ3588" s="139" t="s">
        <v>60</v>
      </c>
      <c r="AR3588" s="35">
        <v>0</v>
      </c>
    </row>
    <row r="3589" spans="43:44" x14ac:dyDescent="0.25">
      <c r="AQ3589" s="16">
        <v>898</v>
      </c>
      <c r="AR3589" s="35">
        <v>0</v>
      </c>
    </row>
    <row r="3590" spans="43:44" x14ac:dyDescent="0.25">
      <c r="AQ3590" s="136" t="s">
        <v>54</v>
      </c>
      <c r="AR3590" s="35">
        <v>0</v>
      </c>
    </row>
    <row r="3591" spans="43:44" x14ac:dyDescent="0.25">
      <c r="AQ3591" s="138" t="s">
        <v>54</v>
      </c>
      <c r="AR3591" s="35">
        <v>0</v>
      </c>
    </row>
    <row r="3592" spans="43:44" x14ac:dyDescent="0.25">
      <c r="AQ3592" s="139" t="s">
        <v>60</v>
      </c>
      <c r="AR3592" s="35">
        <v>0</v>
      </c>
    </row>
    <row r="3593" spans="43:44" x14ac:dyDescent="0.25">
      <c r="AQ3593" s="16">
        <v>899</v>
      </c>
      <c r="AR3593" s="35">
        <v>0</v>
      </c>
    </row>
    <row r="3594" spans="43:44" x14ac:dyDescent="0.25">
      <c r="AQ3594" s="136" t="s">
        <v>54</v>
      </c>
      <c r="AR3594" s="35">
        <v>0</v>
      </c>
    </row>
    <row r="3595" spans="43:44" x14ac:dyDescent="0.25">
      <c r="AQ3595" s="138" t="s">
        <v>54</v>
      </c>
      <c r="AR3595" s="35">
        <v>0</v>
      </c>
    </row>
    <row r="3596" spans="43:44" x14ac:dyDescent="0.25">
      <c r="AQ3596" s="139" t="s">
        <v>60</v>
      </c>
      <c r="AR3596" s="35">
        <v>0</v>
      </c>
    </row>
    <row r="3597" spans="43:44" x14ac:dyDescent="0.25">
      <c r="AQ3597" s="16">
        <v>900</v>
      </c>
      <c r="AR3597" s="35">
        <v>0</v>
      </c>
    </row>
    <row r="3598" spans="43:44" x14ac:dyDescent="0.25">
      <c r="AQ3598" s="136" t="s">
        <v>54</v>
      </c>
      <c r="AR3598" s="35">
        <v>0</v>
      </c>
    </row>
    <row r="3599" spans="43:44" x14ac:dyDescent="0.25">
      <c r="AQ3599" s="138" t="s">
        <v>54</v>
      </c>
      <c r="AR3599" s="35">
        <v>0</v>
      </c>
    </row>
    <row r="3600" spans="43:44" x14ac:dyDescent="0.25">
      <c r="AQ3600" s="139" t="s">
        <v>60</v>
      </c>
      <c r="AR3600" s="35">
        <v>0</v>
      </c>
    </row>
    <row r="3601" spans="43:44" x14ac:dyDescent="0.25">
      <c r="AQ3601" s="16">
        <v>901</v>
      </c>
      <c r="AR3601" s="35">
        <v>0</v>
      </c>
    </row>
    <row r="3602" spans="43:44" x14ac:dyDescent="0.25">
      <c r="AQ3602" s="136" t="s">
        <v>54</v>
      </c>
      <c r="AR3602" s="35">
        <v>0</v>
      </c>
    </row>
    <row r="3603" spans="43:44" x14ac:dyDescent="0.25">
      <c r="AQ3603" s="138" t="s">
        <v>54</v>
      </c>
      <c r="AR3603" s="35">
        <v>0</v>
      </c>
    </row>
    <row r="3604" spans="43:44" x14ac:dyDescent="0.25">
      <c r="AQ3604" s="139" t="s">
        <v>60</v>
      </c>
      <c r="AR3604" s="35">
        <v>0</v>
      </c>
    </row>
    <row r="3605" spans="43:44" x14ac:dyDescent="0.25">
      <c r="AQ3605" s="16">
        <v>902</v>
      </c>
      <c r="AR3605" s="35">
        <v>0</v>
      </c>
    </row>
    <row r="3606" spans="43:44" x14ac:dyDescent="0.25">
      <c r="AQ3606" s="136" t="s">
        <v>54</v>
      </c>
      <c r="AR3606" s="35">
        <v>0</v>
      </c>
    </row>
    <row r="3607" spans="43:44" x14ac:dyDescent="0.25">
      <c r="AQ3607" s="138" t="s">
        <v>54</v>
      </c>
      <c r="AR3607" s="35">
        <v>0</v>
      </c>
    </row>
    <row r="3608" spans="43:44" x14ac:dyDescent="0.25">
      <c r="AQ3608" s="139" t="s">
        <v>60</v>
      </c>
      <c r="AR3608" s="35">
        <v>0</v>
      </c>
    </row>
    <row r="3609" spans="43:44" x14ac:dyDescent="0.25">
      <c r="AQ3609" s="16">
        <v>903</v>
      </c>
      <c r="AR3609" s="35">
        <v>0</v>
      </c>
    </row>
    <row r="3610" spans="43:44" x14ac:dyDescent="0.25">
      <c r="AQ3610" s="136" t="s">
        <v>54</v>
      </c>
      <c r="AR3610" s="35">
        <v>0</v>
      </c>
    </row>
    <row r="3611" spans="43:44" x14ac:dyDescent="0.25">
      <c r="AQ3611" s="138" t="s">
        <v>54</v>
      </c>
      <c r="AR3611" s="35">
        <v>0</v>
      </c>
    </row>
    <row r="3612" spans="43:44" x14ac:dyDescent="0.25">
      <c r="AQ3612" s="139" t="s">
        <v>60</v>
      </c>
      <c r="AR3612" s="35">
        <v>0</v>
      </c>
    </row>
    <row r="3613" spans="43:44" x14ac:dyDescent="0.25">
      <c r="AQ3613" s="16">
        <v>904</v>
      </c>
      <c r="AR3613" s="35">
        <v>0</v>
      </c>
    </row>
    <row r="3614" spans="43:44" x14ac:dyDescent="0.25">
      <c r="AQ3614" s="136" t="s">
        <v>54</v>
      </c>
      <c r="AR3614" s="35">
        <v>0</v>
      </c>
    </row>
    <row r="3615" spans="43:44" x14ac:dyDescent="0.25">
      <c r="AQ3615" s="138" t="s">
        <v>54</v>
      </c>
      <c r="AR3615" s="35">
        <v>0</v>
      </c>
    </row>
    <row r="3616" spans="43:44" x14ac:dyDescent="0.25">
      <c r="AQ3616" s="139" t="s">
        <v>60</v>
      </c>
      <c r="AR3616" s="35">
        <v>0</v>
      </c>
    </row>
    <row r="3617" spans="43:44" x14ac:dyDescent="0.25">
      <c r="AQ3617" s="16">
        <v>905</v>
      </c>
      <c r="AR3617" s="35">
        <v>0</v>
      </c>
    </row>
    <row r="3618" spans="43:44" x14ac:dyDescent="0.25">
      <c r="AQ3618" s="136" t="s">
        <v>54</v>
      </c>
      <c r="AR3618" s="35">
        <v>0</v>
      </c>
    </row>
    <row r="3619" spans="43:44" x14ac:dyDescent="0.25">
      <c r="AQ3619" s="138" t="s">
        <v>54</v>
      </c>
      <c r="AR3619" s="35">
        <v>0</v>
      </c>
    </row>
    <row r="3620" spans="43:44" x14ac:dyDescent="0.25">
      <c r="AQ3620" s="139" t="s">
        <v>60</v>
      </c>
      <c r="AR3620" s="35">
        <v>0</v>
      </c>
    </row>
    <row r="3621" spans="43:44" x14ac:dyDescent="0.25">
      <c r="AQ3621" s="16">
        <v>906</v>
      </c>
      <c r="AR3621" s="35">
        <v>0</v>
      </c>
    </row>
    <row r="3622" spans="43:44" x14ac:dyDescent="0.25">
      <c r="AQ3622" s="136" t="s">
        <v>54</v>
      </c>
      <c r="AR3622" s="35">
        <v>0</v>
      </c>
    </row>
    <row r="3623" spans="43:44" x14ac:dyDescent="0.25">
      <c r="AQ3623" s="138" t="s">
        <v>54</v>
      </c>
      <c r="AR3623" s="35">
        <v>0</v>
      </c>
    </row>
    <row r="3624" spans="43:44" x14ac:dyDescent="0.25">
      <c r="AQ3624" s="139" t="s">
        <v>60</v>
      </c>
      <c r="AR3624" s="35">
        <v>0</v>
      </c>
    </row>
    <row r="3625" spans="43:44" x14ac:dyDescent="0.25">
      <c r="AQ3625" s="16">
        <v>907</v>
      </c>
      <c r="AR3625" s="35">
        <v>0</v>
      </c>
    </row>
    <row r="3626" spans="43:44" x14ac:dyDescent="0.25">
      <c r="AQ3626" s="136" t="s">
        <v>54</v>
      </c>
      <c r="AR3626" s="35">
        <v>0</v>
      </c>
    </row>
    <row r="3627" spans="43:44" x14ac:dyDescent="0.25">
      <c r="AQ3627" s="138" t="s">
        <v>54</v>
      </c>
      <c r="AR3627" s="35">
        <v>0</v>
      </c>
    </row>
    <row r="3628" spans="43:44" x14ac:dyDescent="0.25">
      <c r="AQ3628" s="139" t="s">
        <v>60</v>
      </c>
      <c r="AR3628" s="35">
        <v>0</v>
      </c>
    </row>
    <row r="3629" spans="43:44" x14ac:dyDescent="0.25">
      <c r="AQ3629" s="16">
        <v>908</v>
      </c>
      <c r="AR3629" s="35">
        <v>0</v>
      </c>
    </row>
    <row r="3630" spans="43:44" x14ac:dyDescent="0.25">
      <c r="AQ3630" s="136" t="s">
        <v>54</v>
      </c>
      <c r="AR3630" s="35">
        <v>0</v>
      </c>
    </row>
    <row r="3631" spans="43:44" x14ac:dyDescent="0.25">
      <c r="AQ3631" s="138" t="s">
        <v>54</v>
      </c>
      <c r="AR3631" s="35">
        <v>0</v>
      </c>
    </row>
    <row r="3632" spans="43:44" x14ac:dyDescent="0.25">
      <c r="AQ3632" s="139" t="s">
        <v>60</v>
      </c>
      <c r="AR3632" s="35">
        <v>0</v>
      </c>
    </row>
    <row r="3633" spans="43:44" x14ac:dyDescent="0.25">
      <c r="AQ3633" s="16">
        <v>909</v>
      </c>
      <c r="AR3633" s="35">
        <v>0</v>
      </c>
    </row>
    <row r="3634" spans="43:44" x14ac:dyDescent="0.25">
      <c r="AQ3634" s="136" t="s">
        <v>54</v>
      </c>
      <c r="AR3634" s="35">
        <v>0</v>
      </c>
    </row>
    <row r="3635" spans="43:44" x14ac:dyDescent="0.25">
      <c r="AQ3635" s="138" t="s">
        <v>54</v>
      </c>
      <c r="AR3635" s="35">
        <v>0</v>
      </c>
    </row>
    <row r="3636" spans="43:44" x14ac:dyDescent="0.25">
      <c r="AQ3636" s="139" t="s">
        <v>60</v>
      </c>
      <c r="AR3636" s="35">
        <v>0</v>
      </c>
    </row>
    <row r="3637" spans="43:44" x14ac:dyDescent="0.25">
      <c r="AQ3637" s="16">
        <v>910</v>
      </c>
      <c r="AR3637" s="35">
        <v>0</v>
      </c>
    </row>
    <row r="3638" spans="43:44" x14ac:dyDescent="0.25">
      <c r="AQ3638" s="136" t="s">
        <v>54</v>
      </c>
      <c r="AR3638" s="35">
        <v>0</v>
      </c>
    </row>
    <row r="3639" spans="43:44" x14ac:dyDescent="0.25">
      <c r="AQ3639" s="138" t="s">
        <v>54</v>
      </c>
      <c r="AR3639" s="35">
        <v>0</v>
      </c>
    </row>
    <row r="3640" spans="43:44" x14ac:dyDescent="0.25">
      <c r="AQ3640" s="139" t="s">
        <v>60</v>
      </c>
      <c r="AR3640" s="35">
        <v>0</v>
      </c>
    </row>
    <row r="3641" spans="43:44" x14ac:dyDescent="0.25">
      <c r="AQ3641" s="16">
        <v>911</v>
      </c>
      <c r="AR3641" s="35">
        <v>0</v>
      </c>
    </row>
    <row r="3642" spans="43:44" x14ac:dyDescent="0.25">
      <c r="AQ3642" s="136" t="s">
        <v>54</v>
      </c>
      <c r="AR3642" s="35">
        <v>0</v>
      </c>
    </row>
    <row r="3643" spans="43:44" x14ac:dyDescent="0.25">
      <c r="AQ3643" s="138" t="s">
        <v>54</v>
      </c>
      <c r="AR3643" s="35">
        <v>0</v>
      </c>
    </row>
    <row r="3644" spans="43:44" x14ac:dyDescent="0.25">
      <c r="AQ3644" s="139" t="s">
        <v>60</v>
      </c>
      <c r="AR3644" s="35">
        <v>0</v>
      </c>
    </row>
    <row r="3645" spans="43:44" x14ac:dyDescent="0.25">
      <c r="AQ3645" s="16">
        <v>912</v>
      </c>
      <c r="AR3645" s="35">
        <v>0</v>
      </c>
    </row>
    <row r="3646" spans="43:44" x14ac:dyDescent="0.25">
      <c r="AQ3646" s="136" t="s">
        <v>54</v>
      </c>
      <c r="AR3646" s="35">
        <v>0</v>
      </c>
    </row>
    <row r="3647" spans="43:44" x14ac:dyDescent="0.25">
      <c r="AQ3647" s="138" t="s">
        <v>54</v>
      </c>
      <c r="AR3647" s="35">
        <v>0</v>
      </c>
    </row>
    <row r="3648" spans="43:44" x14ac:dyDescent="0.25">
      <c r="AQ3648" s="139" t="s">
        <v>60</v>
      </c>
      <c r="AR3648" s="35">
        <v>0</v>
      </c>
    </row>
    <row r="3649" spans="43:44" x14ac:dyDescent="0.25">
      <c r="AQ3649" s="16">
        <v>913</v>
      </c>
      <c r="AR3649" s="35">
        <v>0</v>
      </c>
    </row>
    <row r="3650" spans="43:44" x14ac:dyDescent="0.25">
      <c r="AQ3650" s="136" t="s">
        <v>54</v>
      </c>
      <c r="AR3650" s="35">
        <v>0</v>
      </c>
    </row>
    <row r="3651" spans="43:44" x14ac:dyDescent="0.25">
      <c r="AQ3651" s="138" t="s">
        <v>54</v>
      </c>
      <c r="AR3651" s="35">
        <v>0</v>
      </c>
    </row>
    <row r="3652" spans="43:44" x14ac:dyDescent="0.25">
      <c r="AQ3652" s="139" t="s">
        <v>60</v>
      </c>
      <c r="AR3652" s="35">
        <v>0</v>
      </c>
    </row>
    <row r="3653" spans="43:44" x14ac:dyDescent="0.25">
      <c r="AQ3653" s="16">
        <v>914</v>
      </c>
      <c r="AR3653" s="35">
        <v>0</v>
      </c>
    </row>
    <row r="3654" spans="43:44" x14ac:dyDescent="0.25">
      <c r="AQ3654" s="136" t="s">
        <v>54</v>
      </c>
      <c r="AR3654" s="35">
        <v>0</v>
      </c>
    </row>
    <row r="3655" spans="43:44" x14ac:dyDescent="0.25">
      <c r="AQ3655" s="138" t="s">
        <v>54</v>
      </c>
      <c r="AR3655" s="35">
        <v>0</v>
      </c>
    </row>
    <row r="3656" spans="43:44" x14ac:dyDescent="0.25">
      <c r="AQ3656" s="139" t="s">
        <v>60</v>
      </c>
      <c r="AR3656" s="35">
        <v>0</v>
      </c>
    </row>
    <row r="3657" spans="43:44" x14ac:dyDescent="0.25">
      <c r="AQ3657" s="16">
        <v>915</v>
      </c>
      <c r="AR3657" s="35">
        <v>0</v>
      </c>
    </row>
    <row r="3658" spans="43:44" x14ac:dyDescent="0.25">
      <c r="AQ3658" s="136" t="s">
        <v>54</v>
      </c>
      <c r="AR3658" s="35">
        <v>0</v>
      </c>
    </row>
    <row r="3659" spans="43:44" x14ac:dyDescent="0.25">
      <c r="AQ3659" s="138" t="s">
        <v>54</v>
      </c>
      <c r="AR3659" s="35">
        <v>0</v>
      </c>
    </row>
    <row r="3660" spans="43:44" x14ac:dyDescent="0.25">
      <c r="AQ3660" s="139" t="s">
        <v>60</v>
      </c>
      <c r="AR3660" s="35">
        <v>0</v>
      </c>
    </row>
    <row r="3661" spans="43:44" x14ac:dyDescent="0.25">
      <c r="AQ3661" s="16">
        <v>916</v>
      </c>
      <c r="AR3661" s="35">
        <v>0</v>
      </c>
    </row>
    <row r="3662" spans="43:44" x14ac:dyDescent="0.25">
      <c r="AQ3662" s="136" t="s">
        <v>54</v>
      </c>
      <c r="AR3662" s="35">
        <v>0</v>
      </c>
    </row>
    <row r="3663" spans="43:44" x14ac:dyDescent="0.25">
      <c r="AQ3663" s="138" t="s">
        <v>54</v>
      </c>
      <c r="AR3663" s="35">
        <v>0</v>
      </c>
    </row>
    <row r="3664" spans="43:44" x14ac:dyDescent="0.25">
      <c r="AQ3664" s="139" t="s">
        <v>60</v>
      </c>
      <c r="AR3664" s="35">
        <v>0</v>
      </c>
    </row>
    <row r="3665" spans="43:44" x14ac:dyDescent="0.25">
      <c r="AQ3665" s="16">
        <v>917</v>
      </c>
      <c r="AR3665" s="35">
        <v>0</v>
      </c>
    </row>
    <row r="3666" spans="43:44" x14ac:dyDescent="0.25">
      <c r="AQ3666" s="136" t="s">
        <v>54</v>
      </c>
      <c r="AR3666" s="35">
        <v>0</v>
      </c>
    </row>
    <row r="3667" spans="43:44" x14ac:dyDescent="0.25">
      <c r="AQ3667" s="138" t="s">
        <v>54</v>
      </c>
      <c r="AR3667" s="35">
        <v>0</v>
      </c>
    </row>
    <row r="3668" spans="43:44" x14ac:dyDescent="0.25">
      <c r="AQ3668" s="139" t="s">
        <v>60</v>
      </c>
      <c r="AR3668" s="35">
        <v>0</v>
      </c>
    </row>
    <row r="3669" spans="43:44" x14ac:dyDescent="0.25">
      <c r="AQ3669" s="16">
        <v>918</v>
      </c>
      <c r="AR3669" s="35">
        <v>0</v>
      </c>
    </row>
    <row r="3670" spans="43:44" x14ac:dyDescent="0.25">
      <c r="AQ3670" s="136" t="s">
        <v>54</v>
      </c>
      <c r="AR3670" s="35">
        <v>0</v>
      </c>
    </row>
    <row r="3671" spans="43:44" x14ac:dyDescent="0.25">
      <c r="AQ3671" s="138" t="s">
        <v>54</v>
      </c>
      <c r="AR3671" s="35">
        <v>0</v>
      </c>
    </row>
    <row r="3672" spans="43:44" x14ac:dyDescent="0.25">
      <c r="AQ3672" s="139" t="s">
        <v>60</v>
      </c>
      <c r="AR3672" s="35">
        <v>0</v>
      </c>
    </row>
    <row r="3673" spans="43:44" x14ac:dyDescent="0.25">
      <c r="AQ3673" s="16">
        <v>919</v>
      </c>
      <c r="AR3673" s="35">
        <v>0</v>
      </c>
    </row>
    <row r="3674" spans="43:44" x14ac:dyDescent="0.25">
      <c r="AQ3674" s="136" t="s">
        <v>54</v>
      </c>
      <c r="AR3674" s="35">
        <v>0</v>
      </c>
    </row>
    <row r="3675" spans="43:44" x14ac:dyDescent="0.25">
      <c r="AQ3675" s="138" t="s">
        <v>54</v>
      </c>
      <c r="AR3675" s="35">
        <v>0</v>
      </c>
    </row>
    <row r="3676" spans="43:44" x14ac:dyDescent="0.25">
      <c r="AQ3676" s="139" t="s">
        <v>60</v>
      </c>
      <c r="AR3676" s="35">
        <v>0</v>
      </c>
    </row>
    <row r="3677" spans="43:44" x14ac:dyDescent="0.25">
      <c r="AQ3677" s="16">
        <v>920</v>
      </c>
      <c r="AR3677" s="35">
        <v>0</v>
      </c>
    </row>
    <row r="3678" spans="43:44" x14ac:dyDescent="0.25">
      <c r="AQ3678" s="136" t="s">
        <v>54</v>
      </c>
      <c r="AR3678" s="35">
        <v>0</v>
      </c>
    </row>
    <row r="3679" spans="43:44" x14ac:dyDescent="0.25">
      <c r="AQ3679" s="138" t="s">
        <v>54</v>
      </c>
      <c r="AR3679" s="35">
        <v>0</v>
      </c>
    </row>
    <row r="3680" spans="43:44" x14ac:dyDescent="0.25">
      <c r="AQ3680" s="139" t="s">
        <v>60</v>
      </c>
      <c r="AR3680" s="35">
        <v>0</v>
      </c>
    </row>
    <row r="3681" spans="43:44" x14ac:dyDescent="0.25">
      <c r="AQ3681" s="16">
        <v>921</v>
      </c>
      <c r="AR3681" s="35">
        <v>0</v>
      </c>
    </row>
    <row r="3682" spans="43:44" x14ac:dyDescent="0.25">
      <c r="AQ3682" s="136" t="s">
        <v>54</v>
      </c>
      <c r="AR3682" s="35">
        <v>0</v>
      </c>
    </row>
    <row r="3683" spans="43:44" x14ac:dyDescent="0.25">
      <c r="AQ3683" s="138" t="s">
        <v>54</v>
      </c>
      <c r="AR3683" s="35">
        <v>0</v>
      </c>
    </row>
    <row r="3684" spans="43:44" x14ac:dyDescent="0.25">
      <c r="AQ3684" s="139" t="s">
        <v>60</v>
      </c>
      <c r="AR3684" s="35">
        <v>0</v>
      </c>
    </row>
    <row r="3685" spans="43:44" x14ac:dyDescent="0.25">
      <c r="AQ3685" s="16">
        <v>922</v>
      </c>
      <c r="AR3685" s="35">
        <v>0</v>
      </c>
    </row>
    <row r="3686" spans="43:44" x14ac:dyDescent="0.25">
      <c r="AQ3686" s="136" t="s">
        <v>54</v>
      </c>
      <c r="AR3686" s="35">
        <v>0</v>
      </c>
    </row>
    <row r="3687" spans="43:44" x14ac:dyDescent="0.25">
      <c r="AQ3687" s="138" t="s">
        <v>54</v>
      </c>
      <c r="AR3687" s="35">
        <v>0</v>
      </c>
    </row>
    <row r="3688" spans="43:44" x14ac:dyDescent="0.25">
      <c r="AQ3688" s="139" t="s">
        <v>60</v>
      </c>
      <c r="AR3688" s="35">
        <v>0</v>
      </c>
    </row>
    <row r="3689" spans="43:44" x14ac:dyDescent="0.25">
      <c r="AQ3689" s="16">
        <v>923</v>
      </c>
      <c r="AR3689" s="35">
        <v>0</v>
      </c>
    </row>
    <row r="3690" spans="43:44" x14ac:dyDescent="0.25">
      <c r="AQ3690" s="136" t="s">
        <v>54</v>
      </c>
      <c r="AR3690" s="35">
        <v>0</v>
      </c>
    </row>
    <row r="3691" spans="43:44" x14ac:dyDescent="0.25">
      <c r="AQ3691" s="138" t="s">
        <v>54</v>
      </c>
      <c r="AR3691" s="35">
        <v>0</v>
      </c>
    </row>
    <row r="3692" spans="43:44" x14ac:dyDescent="0.25">
      <c r="AQ3692" s="139" t="s">
        <v>60</v>
      </c>
      <c r="AR3692" s="35">
        <v>0</v>
      </c>
    </row>
    <row r="3693" spans="43:44" x14ac:dyDescent="0.25">
      <c r="AQ3693" s="16">
        <v>924</v>
      </c>
      <c r="AR3693" s="35">
        <v>0</v>
      </c>
    </row>
    <row r="3694" spans="43:44" x14ac:dyDescent="0.25">
      <c r="AQ3694" s="136" t="s">
        <v>54</v>
      </c>
      <c r="AR3694" s="35">
        <v>0</v>
      </c>
    </row>
    <row r="3695" spans="43:44" x14ac:dyDescent="0.25">
      <c r="AQ3695" s="138" t="s">
        <v>54</v>
      </c>
      <c r="AR3695" s="35">
        <v>0</v>
      </c>
    </row>
    <row r="3696" spans="43:44" x14ac:dyDescent="0.25">
      <c r="AQ3696" s="139" t="s">
        <v>60</v>
      </c>
      <c r="AR3696" s="35">
        <v>0</v>
      </c>
    </row>
    <row r="3697" spans="43:44" x14ac:dyDescent="0.25">
      <c r="AQ3697" s="16">
        <v>925</v>
      </c>
      <c r="AR3697" s="35">
        <v>0</v>
      </c>
    </row>
    <row r="3698" spans="43:44" x14ac:dyDescent="0.25">
      <c r="AQ3698" s="136" t="s">
        <v>54</v>
      </c>
      <c r="AR3698" s="35">
        <v>0</v>
      </c>
    </row>
    <row r="3699" spans="43:44" x14ac:dyDescent="0.25">
      <c r="AQ3699" s="138" t="s">
        <v>54</v>
      </c>
      <c r="AR3699" s="35">
        <v>0</v>
      </c>
    </row>
    <row r="3700" spans="43:44" x14ac:dyDescent="0.25">
      <c r="AQ3700" s="139" t="s">
        <v>60</v>
      </c>
      <c r="AR3700" s="35">
        <v>0</v>
      </c>
    </row>
    <row r="3701" spans="43:44" x14ac:dyDescent="0.25">
      <c r="AQ3701" s="16">
        <v>926</v>
      </c>
      <c r="AR3701" s="35">
        <v>0</v>
      </c>
    </row>
    <row r="3702" spans="43:44" x14ac:dyDescent="0.25">
      <c r="AQ3702" s="136" t="s">
        <v>54</v>
      </c>
      <c r="AR3702" s="35">
        <v>0</v>
      </c>
    </row>
    <row r="3703" spans="43:44" x14ac:dyDescent="0.25">
      <c r="AQ3703" s="138" t="s">
        <v>54</v>
      </c>
      <c r="AR3703" s="35">
        <v>0</v>
      </c>
    </row>
    <row r="3704" spans="43:44" x14ac:dyDescent="0.25">
      <c r="AQ3704" s="139" t="s">
        <v>60</v>
      </c>
      <c r="AR3704" s="35">
        <v>0</v>
      </c>
    </row>
    <row r="3705" spans="43:44" x14ac:dyDescent="0.25">
      <c r="AQ3705" s="16">
        <v>927</v>
      </c>
      <c r="AR3705" s="35">
        <v>0</v>
      </c>
    </row>
    <row r="3706" spans="43:44" x14ac:dyDescent="0.25">
      <c r="AQ3706" s="136" t="s">
        <v>54</v>
      </c>
      <c r="AR3706" s="35">
        <v>0</v>
      </c>
    </row>
    <row r="3707" spans="43:44" x14ac:dyDescent="0.25">
      <c r="AQ3707" s="138" t="s">
        <v>54</v>
      </c>
      <c r="AR3707" s="35">
        <v>0</v>
      </c>
    </row>
    <row r="3708" spans="43:44" x14ac:dyDescent="0.25">
      <c r="AQ3708" s="139" t="s">
        <v>60</v>
      </c>
      <c r="AR3708" s="35">
        <v>0</v>
      </c>
    </row>
    <row r="3709" spans="43:44" x14ac:dyDescent="0.25">
      <c r="AQ3709" s="16">
        <v>928</v>
      </c>
      <c r="AR3709" s="35">
        <v>0</v>
      </c>
    </row>
    <row r="3710" spans="43:44" x14ac:dyDescent="0.25">
      <c r="AQ3710" s="136" t="s">
        <v>54</v>
      </c>
      <c r="AR3710" s="35">
        <v>0</v>
      </c>
    </row>
    <row r="3711" spans="43:44" x14ac:dyDescent="0.25">
      <c r="AQ3711" s="138" t="s">
        <v>54</v>
      </c>
      <c r="AR3711" s="35">
        <v>0</v>
      </c>
    </row>
    <row r="3712" spans="43:44" x14ac:dyDescent="0.25">
      <c r="AQ3712" s="139" t="s">
        <v>60</v>
      </c>
      <c r="AR3712" s="35">
        <v>0</v>
      </c>
    </row>
    <row r="3713" spans="43:44" x14ac:dyDescent="0.25">
      <c r="AQ3713" s="16">
        <v>929</v>
      </c>
      <c r="AR3713" s="35">
        <v>0</v>
      </c>
    </row>
    <row r="3714" spans="43:44" x14ac:dyDescent="0.25">
      <c r="AQ3714" s="136" t="s">
        <v>54</v>
      </c>
      <c r="AR3714" s="35">
        <v>0</v>
      </c>
    </row>
    <row r="3715" spans="43:44" x14ac:dyDescent="0.25">
      <c r="AQ3715" s="138" t="s">
        <v>54</v>
      </c>
      <c r="AR3715" s="35">
        <v>0</v>
      </c>
    </row>
    <row r="3716" spans="43:44" x14ac:dyDescent="0.25">
      <c r="AQ3716" s="139" t="s">
        <v>60</v>
      </c>
      <c r="AR3716" s="35">
        <v>0</v>
      </c>
    </row>
    <row r="3717" spans="43:44" x14ac:dyDescent="0.25">
      <c r="AQ3717" s="16">
        <v>930</v>
      </c>
      <c r="AR3717" s="35">
        <v>0</v>
      </c>
    </row>
    <row r="3718" spans="43:44" x14ac:dyDescent="0.25">
      <c r="AQ3718" s="136" t="s">
        <v>54</v>
      </c>
      <c r="AR3718" s="35">
        <v>0</v>
      </c>
    </row>
    <row r="3719" spans="43:44" x14ac:dyDescent="0.25">
      <c r="AQ3719" s="138" t="s">
        <v>54</v>
      </c>
      <c r="AR3719" s="35">
        <v>0</v>
      </c>
    </row>
    <row r="3720" spans="43:44" x14ac:dyDescent="0.25">
      <c r="AQ3720" s="139" t="s">
        <v>60</v>
      </c>
      <c r="AR3720" s="35">
        <v>0</v>
      </c>
    </row>
    <row r="3721" spans="43:44" x14ac:dyDescent="0.25">
      <c r="AQ3721" s="16">
        <v>931</v>
      </c>
      <c r="AR3721" s="35">
        <v>0</v>
      </c>
    </row>
    <row r="3722" spans="43:44" x14ac:dyDescent="0.25">
      <c r="AQ3722" s="136" t="s">
        <v>54</v>
      </c>
      <c r="AR3722" s="35">
        <v>0</v>
      </c>
    </row>
    <row r="3723" spans="43:44" x14ac:dyDescent="0.25">
      <c r="AQ3723" s="138" t="s">
        <v>54</v>
      </c>
      <c r="AR3723" s="35">
        <v>0</v>
      </c>
    </row>
    <row r="3724" spans="43:44" x14ac:dyDescent="0.25">
      <c r="AQ3724" s="139" t="s">
        <v>60</v>
      </c>
      <c r="AR3724" s="35">
        <v>0</v>
      </c>
    </row>
    <row r="3725" spans="43:44" x14ac:dyDescent="0.25">
      <c r="AQ3725" s="16">
        <v>932</v>
      </c>
      <c r="AR3725" s="35">
        <v>0</v>
      </c>
    </row>
    <row r="3726" spans="43:44" x14ac:dyDescent="0.25">
      <c r="AQ3726" s="136" t="s">
        <v>54</v>
      </c>
      <c r="AR3726" s="35">
        <v>0</v>
      </c>
    </row>
    <row r="3727" spans="43:44" x14ac:dyDescent="0.25">
      <c r="AQ3727" s="138" t="s">
        <v>54</v>
      </c>
      <c r="AR3727" s="35">
        <v>0</v>
      </c>
    </row>
    <row r="3728" spans="43:44" x14ac:dyDescent="0.25">
      <c r="AQ3728" s="139" t="s">
        <v>60</v>
      </c>
      <c r="AR3728" s="35">
        <v>0</v>
      </c>
    </row>
    <row r="3729" spans="43:44" x14ac:dyDescent="0.25">
      <c r="AQ3729" s="16">
        <v>933</v>
      </c>
      <c r="AR3729" s="35">
        <v>0</v>
      </c>
    </row>
    <row r="3730" spans="43:44" x14ac:dyDescent="0.25">
      <c r="AQ3730" s="136" t="s">
        <v>54</v>
      </c>
      <c r="AR3730" s="35">
        <v>0</v>
      </c>
    </row>
    <row r="3731" spans="43:44" x14ac:dyDescent="0.25">
      <c r="AQ3731" s="138" t="s">
        <v>54</v>
      </c>
      <c r="AR3731" s="35">
        <v>0</v>
      </c>
    </row>
    <row r="3732" spans="43:44" x14ac:dyDescent="0.25">
      <c r="AQ3732" s="139" t="s">
        <v>60</v>
      </c>
      <c r="AR3732" s="35">
        <v>0</v>
      </c>
    </row>
    <row r="3733" spans="43:44" x14ac:dyDescent="0.25">
      <c r="AQ3733" s="16">
        <v>934</v>
      </c>
      <c r="AR3733" s="35">
        <v>0</v>
      </c>
    </row>
    <row r="3734" spans="43:44" x14ac:dyDescent="0.25">
      <c r="AQ3734" s="136" t="s">
        <v>54</v>
      </c>
      <c r="AR3734" s="35">
        <v>0</v>
      </c>
    </row>
    <row r="3735" spans="43:44" x14ac:dyDescent="0.25">
      <c r="AQ3735" s="138" t="s">
        <v>54</v>
      </c>
      <c r="AR3735" s="35">
        <v>0</v>
      </c>
    </row>
    <row r="3736" spans="43:44" x14ac:dyDescent="0.25">
      <c r="AQ3736" s="139" t="s">
        <v>60</v>
      </c>
      <c r="AR3736" s="35">
        <v>0</v>
      </c>
    </row>
    <row r="3737" spans="43:44" x14ac:dyDescent="0.25">
      <c r="AQ3737" s="16">
        <v>935</v>
      </c>
      <c r="AR3737" s="35">
        <v>0</v>
      </c>
    </row>
    <row r="3738" spans="43:44" x14ac:dyDescent="0.25">
      <c r="AQ3738" s="136" t="s">
        <v>54</v>
      </c>
      <c r="AR3738" s="35">
        <v>0</v>
      </c>
    </row>
    <row r="3739" spans="43:44" x14ac:dyDescent="0.25">
      <c r="AQ3739" s="138" t="s">
        <v>54</v>
      </c>
      <c r="AR3739" s="35">
        <v>0</v>
      </c>
    </row>
    <row r="3740" spans="43:44" x14ac:dyDescent="0.25">
      <c r="AQ3740" s="139" t="s">
        <v>60</v>
      </c>
      <c r="AR3740" s="35">
        <v>0</v>
      </c>
    </row>
    <row r="3741" spans="43:44" x14ac:dyDescent="0.25">
      <c r="AQ3741" s="16">
        <v>936</v>
      </c>
      <c r="AR3741" s="35">
        <v>0</v>
      </c>
    </row>
    <row r="3742" spans="43:44" x14ac:dyDescent="0.25">
      <c r="AQ3742" s="136" t="s">
        <v>54</v>
      </c>
      <c r="AR3742" s="35">
        <v>0</v>
      </c>
    </row>
    <row r="3743" spans="43:44" x14ac:dyDescent="0.25">
      <c r="AQ3743" s="138" t="s">
        <v>54</v>
      </c>
      <c r="AR3743" s="35">
        <v>0</v>
      </c>
    </row>
    <row r="3744" spans="43:44" x14ac:dyDescent="0.25">
      <c r="AQ3744" s="139" t="s">
        <v>60</v>
      </c>
      <c r="AR3744" s="35">
        <v>0</v>
      </c>
    </row>
    <row r="3745" spans="43:44" x14ac:dyDescent="0.25">
      <c r="AQ3745" s="16">
        <v>937</v>
      </c>
      <c r="AR3745" s="35">
        <v>0</v>
      </c>
    </row>
    <row r="3746" spans="43:44" x14ac:dyDescent="0.25">
      <c r="AQ3746" s="136" t="s">
        <v>54</v>
      </c>
      <c r="AR3746" s="35">
        <v>0</v>
      </c>
    </row>
    <row r="3747" spans="43:44" x14ac:dyDescent="0.25">
      <c r="AQ3747" s="138" t="s">
        <v>54</v>
      </c>
      <c r="AR3747" s="35">
        <v>0</v>
      </c>
    </row>
    <row r="3748" spans="43:44" x14ac:dyDescent="0.25">
      <c r="AQ3748" s="139" t="s">
        <v>60</v>
      </c>
      <c r="AR3748" s="35">
        <v>0</v>
      </c>
    </row>
    <row r="3749" spans="43:44" x14ac:dyDescent="0.25">
      <c r="AQ3749" s="16">
        <v>938</v>
      </c>
      <c r="AR3749" s="35">
        <v>0</v>
      </c>
    </row>
    <row r="3750" spans="43:44" x14ac:dyDescent="0.25">
      <c r="AQ3750" s="136" t="s">
        <v>54</v>
      </c>
      <c r="AR3750" s="35">
        <v>0</v>
      </c>
    </row>
    <row r="3751" spans="43:44" x14ac:dyDescent="0.25">
      <c r="AQ3751" s="138" t="s">
        <v>54</v>
      </c>
      <c r="AR3751" s="35">
        <v>0</v>
      </c>
    </row>
    <row r="3752" spans="43:44" x14ac:dyDescent="0.25">
      <c r="AQ3752" s="139" t="s">
        <v>60</v>
      </c>
      <c r="AR3752" s="35">
        <v>0</v>
      </c>
    </row>
    <row r="3753" spans="43:44" x14ac:dyDescent="0.25">
      <c r="AQ3753" s="16">
        <v>939</v>
      </c>
      <c r="AR3753" s="35">
        <v>0</v>
      </c>
    </row>
    <row r="3754" spans="43:44" x14ac:dyDescent="0.25">
      <c r="AQ3754" s="136" t="s">
        <v>54</v>
      </c>
      <c r="AR3754" s="35">
        <v>0</v>
      </c>
    </row>
    <row r="3755" spans="43:44" x14ac:dyDescent="0.25">
      <c r="AQ3755" s="138" t="s">
        <v>54</v>
      </c>
      <c r="AR3755" s="35">
        <v>0</v>
      </c>
    </row>
    <row r="3756" spans="43:44" x14ac:dyDescent="0.25">
      <c r="AQ3756" s="139" t="s">
        <v>60</v>
      </c>
      <c r="AR3756" s="35">
        <v>0</v>
      </c>
    </row>
    <row r="3757" spans="43:44" x14ac:dyDescent="0.25">
      <c r="AQ3757" s="16">
        <v>940</v>
      </c>
      <c r="AR3757" s="35">
        <v>0</v>
      </c>
    </row>
    <row r="3758" spans="43:44" x14ac:dyDescent="0.25">
      <c r="AQ3758" s="136" t="s">
        <v>54</v>
      </c>
      <c r="AR3758" s="35">
        <v>0</v>
      </c>
    </row>
    <row r="3759" spans="43:44" x14ac:dyDescent="0.25">
      <c r="AQ3759" s="138" t="s">
        <v>54</v>
      </c>
      <c r="AR3759" s="35">
        <v>0</v>
      </c>
    </row>
    <row r="3760" spans="43:44" x14ac:dyDescent="0.25">
      <c r="AQ3760" s="139" t="s">
        <v>60</v>
      </c>
      <c r="AR3760" s="35">
        <v>0</v>
      </c>
    </row>
    <row r="3761" spans="43:44" x14ac:dyDescent="0.25">
      <c r="AQ3761" s="16">
        <v>941</v>
      </c>
      <c r="AR3761" s="35">
        <v>0</v>
      </c>
    </row>
    <row r="3762" spans="43:44" x14ac:dyDescent="0.25">
      <c r="AQ3762" s="136" t="s">
        <v>54</v>
      </c>
      <c r="AR3762" s="35">
        <v>0</v>
      </c>
    </row>
    <row r="3763" spans="43:44" x14ac:dyDescent="0.25">
      <c r="AQ3763" s="138" t="s">
        <v>54</v>
      </c>
      <c r="AR3763" s="35">
        <v>0</v>
      </c>
    </row>
    <row r="3764" spans="43:44" x14ac:dyDescent="0.25">
      <c r="AQ3764" s="139" t="s">
        <v>60</v>
      </c>
      <c r="AR3764" s="35">
        <v>0</v>
      </c>
    </row>
    <row r="3765" spans="43:44" x14ac:dyDescent="0.25">
      <c r="AQ3765" s="16">
        <v>942</v>
      </c>
      <c r="AR3765" s="35">
        <v>0</v>
      </c>
    </row>
    <row r="3766" spans="43:44" x14ac:dyDescent="0.25">
      <c r="AQ3766" s="136" t="s">
        <v>54</v>
      </c>
      <c r="AR3766" s="35">
        <v>0</v>
      </c>
    </row>
    <row r="3767" spans="43:44" x14ac:dyDescent="0.25">
      <c r="AQ3767" s="138" t="s">
        <v>54</v>
      </c>
      <c r="AR3767" s="35">
        <v>0</v>
      </c>
    </row>
    <row r="3768" spans="43:44" x14ac:dyDescent="0.25">
      <c r="AQ3768" s="139" t="s">
        <v>60</v>
      </c>
      <c r="AR3768" s="35">
        <v>0</v>
      </c>
    </row>
    <row r="3769" spans="43:44" x14ac:dyDescent="0.25">
      <c r="AQ3769" s="16">
        <v>943</v>
      </c>
      <c r="AR3769" s="35">
        <v>0</v>
      </c>
    </row>
    <row r="3770" spans="43:44" x14ac:dyDescent="0.25">
      <c r="AQ3770" s="136" t="s">
        <v>54</v>
      </c>
      <c r="AR3770" s="35">
        <v>0</v>
      </c>
    </row>
    <row r="3771" spans="43:44" x14ac:dyDescent="0.25">
      <c r="AQ3771" s="138" t="s">
        <v>54</v>
      </c>
      <c r="AR3771" s="35">
        <v>0</v>
      </c>
    </row>
    <row r="3772" spans="43:44" x14ac:dyDescent="0.25">
      <c r="AQ3772" s="139" t="s">
        <v>60</v>
      </c>
      <c r="AR3772" s="35">
        <v>0</v>
      </c>
    </row>
    <row r="3773" spans="43:44" x14ac:dyDescent="0.25">
      <c r="AQ3773" s="16">
        <v>944</v>
      </c>
      <c r="AR3773" s="35">
        <v>0</v>
      </c>
    </row>
    <row r="3774" spans="43:44" x14ac:dyDescent="0.25">
      <c r="AQ3774" s="136" t="s">
        <v>54</v>
      </c>
      <c r="AR3774" s="35">
        <v>0</v>
      </c>
    </row>
    <row r="3775" spans="43:44" x14ac:dyDescent="0.25">
      <c r="AQ3775" s="138" t="s">
        <v>54</v>
      </c>
      <c r="AR3775" s="35">
        <v>0</v>
      </c>
    </row>
    <row r="3776" spans="43:44" x14ac:dyDescent="0.25">
      <c r="AQ3776" s="139" t="s">
        <v>60</v>
      </c>
      <c r="AR3776" s="35">
        <v>0</v>
      </c>
    </row>
    <row r="3777" spans="43:44" x14ac:dyDescent="0.25">
      <c r="AQ3777" s="16">
        <v>945</v>
      </c>
      <c r="AR3777" s="35">
        <v>0</v>
      </c>
    </row>
    <row r="3778" spans="43:44" x14ac:dyDescent="0.25">
      <c r="AQ3778" s="136" t="s">
        <v>54</v>
      </c>
      <c r="AR3778" s="35">
        <v>0</v>
      </c>
    </row>
    <row r="3779" spans="43:44" x14ac:dyDescent="0.25">
      <c r="AQ3779" s="138" t="s">
        <v>54</v>
      </c>
      <c r="AR3779" s="35">
        <v>0</v>
      </c>
    </row>
    <row r="3780" spans="43:44" x14ac:dyDescent="0.25">
      <c r="AQ3780" s="139" t="s">
        <v>60</v>
      </c>
      <c r="AR3780" s="35">
        <v>0</v>
      </c>
    </row>
    <row r="3781" spans="43:44" x14ac:dyDescent="0.25">
      <c r="AQ3781" s="16">
        <v>946</v>
      </c>
      <c r="AR3781" s="35">
        <v>0</v>
      </c>
    </row>
    <row r="3782" spans="43:44" x14ac:dyDescent="0.25">
      <c r="AQ3782" s="136" t="s">
        <v>54</v>
      </c>
      <c r="AR3782" s="35">
        <v>0</v>
      </c>
    </row>
    <row r="3783" spans="43:44" x14ac:dyDescent="0.25">
      <c r="AQ3783" s="138" t="s">
        <v>54</v>
      </c>
      <c r="AR3783" s="35">
        <v>0</v>
      </c>
    </row>
    <row r="3784" spans="43:44" x14ac:dyDescent="0.25">
      <c r="AQ3784" s="139" t="s">
        <v>60</v>
      </c>
      <c r="AR3784" s="35">
        <v>0</v>
      </c>
    </row>
    <row r="3785" spans="43:44" x14ac:dyDescent="0.25">
      <c r="AQ3785" s="16">
        <v>947</v>
      </c>
      <c r="AR3785" s="35">
        <v>0</v>
      </c>
    </row>
    <row r="3786" spans="43:44" x14ac:dyDescent="0.25">
      <c r="AQ3786" s="136" t="s">
        <v>54</v>
      </c>
      <c r="AR3786" s="35">
        <v>0</v>
      </c>
    </row>
    <row r="3787" spans="43:44" x14ac:dyDescent="0.25">
      <c r="AQ3787" s="138" t="s">
        <v>54</v>
      </c>
      <c r="AR3787" s="35">
        <v>0</v>
      </c>
    </row>
    <row r="3788" spans="43:44" x14ac:dyDescent="0.25">
      <c r="AQ3788" s="139" t="s">
        <v>60</v>
      </c>
      <c r="AR3788" s="35">
        <v>0</v>
      </c>
    </row>
    <row r="3789" spans="43:44" x14ac:dyDescent="0.25">
      <c r="AQ3789" s="16">
        <v>948</v>
      </c>
      <c r="AR3789" s="35">
        <v>0</v>
      </c>
    </row>
    <row r="3790" spans="43:44" x14ac:dyDescent="0.25">
      <c r="AQ3790" s="136" t="s">
        <v>54</v>
      </c>
      <c r="AR3790" s="35">
        <v>0</v>
      </c>
    </row>
    <row r="3791" spans="43:44" x14ac:dyDescent="0.25">
      <c r="AQ3791" s="138" t="s">
        <v>54</v>
      </c>
      <c r="AR3791" s="35">
        <v>0</v>
      </c>
    </row>
    <row r="3792" spans="43:44" x14ac:dyDescent="0.25">
      <c r="AQ3792" s="139" t="s">
        <v>60</v>
      </c>
      <c r="AR3792" s="35">
        <v>0</v>
      </c>
    </row>
    <row r="3793" spans="43:44" x14ac:dyDescent="0.25">
      <c r="AQ3793" s="16">
        <v>949</v>
      </c>
      <c r="AR3793" s="35">
        <v>0</v>
      </c>
    </row>
    <row r="3794" spans="43:44" x14ac:dyDescent="0.25">
      <c r="AQ3794" s="136" t="s">
        <v>54</v>
      </c>
      <c r="AR3794" s="35">
        <v>0</v>
      </c>
    </row>
    <row r="3795" spans="43:44" x14ac:dyDescent="0.25">
      <c r="AQ3795" s="138" t="s">
        <v>54</v>
      </c>
      <c r="AR3795" s="35">
        <v>0</v>
      </c>
    </row>
    <row r="3796" spans="43:44" x14ac:dyDescent="0.25">
      <c r="AQ3796" s="139" t="s">
        <v>60</v>
      </c>
      <c r="AR3796" s="35">
        <v>0</v>
      </c>
    </row>
    <row r="3797" spans="43:44" x14ac:dyDescent="0.25">
      <c r="AQ3797" s="16">
        <v>950</v>
      </c>
      <c r="AR3797" s="35">
        <v>0</v>
      </c>
    </row>
    <row r="3798" spans="43:44" x14ac:dyDescent="0.25">
      <c r="AQ3798" s="136" t="s">
        <v>54</v>
      </c>
      <c r="AR3798" s="35">
        <v>0</v>
      </c>
    </row>
    <row r="3799" spans="43:44" x14ac:dyDescent="0.25">
      <c r="AQ3799" s="138" t="s">
        <v>54</v>
      </c>
      <c r="AR3799" s="35">
        <v>0</v>
      </c>
    </row>
    <row r="3800" spans="43:44" x14ac:dyDescent="0.25">
      <c r="AQ3800" s="139" t="s">
        <v>60</v>
      </c>
      <c r="AR3800" s="35">
        <v>0</v>
      </c>
    </row>
    <row r="3801" spans="43:44" x14ac:dyDescent="0.25">
      <c r="AQ3801" s="16">
        <v>951</v>
      </c>
      <c r="AR3801" s="35">
        <v>0</v>
      </c>
    </row>
    <row r="3802" spans="43:44" x14ac:dyDescent="0.25">
      <c r="AQ3802" s="136" t="s">
        <v>54</v>
      </c>
      <c r="AR3802" s="35">
        <v>0</v>
      </c>
    </row>
    <row r="3803" spans="43:44" x14ac:dyDescent="0.25">
      <c r="AQ3803" s="138" t="s">
        <v>54</v>
      </c>
      <c r="AR3803" s="35">
        <v>0</v>
      </c>
    </row>
    <row r="3804" spans="43:44" x14ac:dyDescent="0.25">
      <c r="AQ3804" s="139" t="s">
        <v>60</v>
      </c>
      <c r="AR3804" s="35">
        <v>0</v>
      </c>
    </row>
    <row r="3805" spans="43:44" x14ac:dyDescent="0.25">
      <c r="AQ3805" s="16">
        <v>952</v>
      </c>
      <c r="AR3805" s="35">
        <v>0</v>
      </c>
    </row>
    <row r="3806" spans="43:44" x14ac:dyDescent="0.25">
      <c r="AQ3806" s="136" t="s">
        <v>54</v>
      </c>
      <c r="AR3806" s="35">
        <v>0</v>
      </c>
    </row>
    <row r="3807" spans="43:44" x14ac:dyDescent="0.25">
      <c r="AQ3807" s="138" t="s">
        <v>54</v>
      </c>
      <c r="AR3807" s="35">
        <v>0</v>
      </c>
    </row>
    <row r="3808" spans="43:44" x14ac:dyDescent="0.25">
      <c r="AQ3808" s="139" t="s">
        <v>60</v>
      </c>
      <c r="AR3808" s="35">
        <v>0</v>
      </c>
    </row>
    <row r="3809" spans="43:44" x14ac:dyDescent="0.25">
      <c r="AQ3809" s="16">
        <v>953</v>
      </c>
      <c r="AR3809" s="35">
        <v>0</v>
      </c>
    </row>
    <row r="3810" spans="43:44" x14ac:dyDescent="0.25">
      <c r="AQ3810" s="136" t="s">
        <v>54</v>
      </c>
      <c r="AR3810" s="35">
        <v>0</v>
      </c>
    </row>
    <row r="3811" spans="43:44" x14ac:dyDescent="0.25">
      <c r="AQ3811" s="138" t="s">
        <v>54</v>
      </c>
      <c r="AR3811" s="35">
        <v>0</v>
      </c>
    </row>
    <row r="3812" spans="43:44" x14ac:dyDescent="0.25">
      <c r="AQ3812" s="139" t="s">
        <v>60</v>
      </c>
      <c r="AR3812" s="35">
        <v>0</v>
      </c>
    </row>
    <row r="3813" spans="43:44" x14ac:dyDescent="0.25">
      <c r="AQ3813" s="16">
        <v>954</v>
      </c>
      <c r="AR3813" s="35">
        <v>0</v>
      </c>
    </row>
    <row r="3814" spans="43:44" x14ac:dyDescent="0.25">
      <c r="AQ3814" s="136" t="s">
        <v>54</v>
      </c>
      <c r="AR3814" s="35">
        <v>0</v>
      </c>
    </row>
    <row r="3815" spans="43:44" x14ac:dyDescent="0.25">
      <c r="AQ3815" s="138" t="s">
        <v>54</v>
      </c>
      <c r="AR3815" s="35">
        <v>0</v>
      </c>
    </row>
    <row r="3816" spans="43:44" x14ac:dyDescent="0.25">
      <c r="AQ3816" s="139" t="s">
        <v>60</v>
      </c>
      <c r="AR3816" s="35">
        <v>0</v>
      </c>
    </row>
    <row r="3817" spans="43:44" x14ac:dyDescent="0.25">
      <c r="AQ3817" s="16">
        <v>955</v>
      </c>
      <c r="AR3817" s="35">
        <v>0</v>
      </c>
    </row>
    <row r="3818" spans="43:44" x14ac:dyDescent="0.25">
      <c r="AQ3818" s="136" t="s">
        <v>54</v>
      </c>
      <c r="AR3818" s="35">
        <v>0</v>
      </c>
    </row>
    <row r="3819" spans="43:44" x14ac:dyDescent="0.25">
      <c r="AQ3819" s="138" t="s">
        <v>54</v>
      </c>
      <c r="AR3819" s="35">
        <v>0</v>
      </c>
    </row>
    <row r="3820" spans="43:44" x14ac:dyDescent="0.25">
      <c r="AQ3820" s="139" t="s">
        <v>60</v>
      </c>
      <c r="AR3820" s="35">
        <v>0</v>
      </c>
    </row>
    <row r="3821" spans="43:44" x14ac:dyDescent="0.25">
      <c r="AQ3821" s="16">
        <v>956</v>
      </c>
      <c r="AR3821" s="35">
        <v>0</v>
      </c>
    </row>
    <row r="3822" spans="43:44" x14ac:dyDescent="0.25">
      <c r="AQ3822" s="136" t="s">
        <v>54</v>
      </c>
      <c r="AR3822" s="35">
        <v>0</v>
      </c>
    </row>
    <row r="3823" spans="43:44" x14ac:dyDescent="0.25">
      <c r="AQ3823" s="138" t="s">
        <v>54</v>
      </c>
      <c r="AR3823" s="35">
        <v>0</v>
      </c>
    </row>
    <row r="3824" spans="43:44" x14ac:dyDescent="0.25">
      <c r="AQ3824" s="139" t="s">
        <v>60</v>
      </c>
      <c r="AR3824" s="35">
        <v>0</v>
      </c>
    </row>
    <row r="3825" spans="43:44" x14ac:dyDescent="0.25">
      <c r="AQ3825" s="16">
        <v>957</v>
      </c>
      <c r="AR3825" s="35">
        <v>0</v>
      </c>
    </row>
    <row r="3826" spans="43:44" x14ac:dyDescent="0.25">
      <c r="AQ3826" s="136" t="s">
        <v>54</v>
      </c>
      <c r="AR3826" s="35">
        <v>0</v>
      </c>
    </row>
    <row r="3827" spans="43:44" x14ac:dyDescent="0.25">
      <c r="AQ3827" s="138" t="s">
        <v>54</v>
      </c>
      <c r="AR3827" s="35">
        <v>0</v>
      </c>
    </row>
    <row r="3828" spans="43:44" x14ac:dyDescent="0.25">
      <c r="AQ3828" s="139" t="s">
        <v>60</v>
      </c>
      <c r="AR3828" s="35">
        <v>0</v>
      </c>
    </row>
    <row r="3829" spans="43:44" x14ac:dyDescent="0.25">
      <c r="AQ3829" s="16">
        <v>958</v>
      </c>
      <c r="AR3829" s="35">
        <v>0</v>
      </c>
    </row>
    <row r="3830" spans="43:44" x14ac:dyDescent="0.25">
      <c r="AQ3830" s="136" t="s">
        <v>54</v>
      </c>
      <c r="AR3830" s="35">
        <v>0</v>
      </c>
    </row>
    <row r="3831" spans="43:44" x14ac:dyDescent="0.25">
      <c r="AQ3831" s="138" t="s">
        <v>54</v>
      </c>
      <c r="AR3831" s="35">
        <v>0</v>
      </c>
    </row>
    <row r="3832" spans="43:44" x14ac:dyDescent="0.25">
      <c r="AQ3832" s="139" t="s">
        <v>60</v>
      </c>
      <c r="AR3832" s="35">
        <v>0</v>
      </c>
    </row>
    <row r="3833" spans="43:44" x14ac:dyDescent="0.25">
      <c r="AQ3833" s="16">
        <v>959</v>
      </c>
      <c r="AR3833" s="35">
        <v>0</v>
      </c>
    </row>
    <row r="3834" spans="43:44" x14ac:dyDescent="0.25">
      <c r="AQ3834" s="136" t="s">
        <v>54</v>
      </c>
      <c r="AR3834" s="35">
        <v>0</v>
      </c>
    </row>
    <row r="3835" spans="43:44" x14ac:dyDescent="0.25">
      <c r="AQ3835" s="138" t="s">
        <v>54</v>
      </c>
      <c r="AR3835" s="35">
        <v>0</v>
      </c>
    </row>
    <row r="3836" spans="43:44" x14ac:dyDescent="0.25">
      <c r="AQ3836" s="139" t="s">
        <v>60</v>
      </c>
      <c r="AR3836" s="35">
        <v>0</v>
      </c>
    </row>
    <row r="3837" spans="43:44" x14ac:dyDescent="0.25">
      <c r="AQ3837" s="16">
        <v>960</v>
      </c>
      <c r="AR3837" s="35">
        <v>0</v>
      </c>
    </row>
    <row r="3838" spans="43:44" x14ac:dyDescent="0.25">
      <c r="AQ3838" s="136" t="s">
        <v>54</v>
      </c>
      <c r="AR3838" s="35">
        <v>0</v>
      </c>
    </row>
    <row r="3839" spans="43:44" x14ac:dyDescent="0.25">
      <c r="AQ3839" s="138" t="s">
        <v>54</v>
      </c>
      <c r="AR3839" s="35">
        <v>0</v>
      </c>
    </row>
    <row r="3840" spans="43:44" x14ac:dyDescent="0.25">
      <c r="AQ3840" s="139" t="s">
        <v>60</v>
      </c>
      <c r="AR3840" s="35">
        <v>0</v>
      </c>
    </row>
    <row r="3841" spans="43:44" x14ac:dyDescent="0.25">
      <c r="AQ3841" s="16">
        <v>961</v>
      </c>
      <c r="AR3841" s="35">
        <v>0</v>
      </c>
    </row>
    <row r="3842" spans="43:44" x14ac:dyDescent="0.25">
      <c r="AQ3842" s="136" t="s">
        <v>54</v>
      </c>
      <c r="AR3842" s="35">
        <v>0</v>
      </c>
    </row>
    <row r="3843" spans="43:44" x14ac:dyDescent="0.25">
      <c r="AQ3843" s="138" t="s">
        <v>54</v>
      </c>
      <c r="AR3843" s="35">
        <v>0</v>
      </c>
    </row>
    <row r="3844" spans="43:44" x14ac:dyDescent="0.25">
      <c r="AQ3844" s="139" t="s">
        <v>60</v>
      </c>
      <c r="AR3844" s="35">
        <v>0</v>
      </c>
    </row>
    <row r="3845" spans="43:44" x14ac:dyDescent="0.25">
      <c r="AQ3845" s="16">
        <v>962</v>
      </c>
      <c r="AR3845" s="35">
        <v>0</v>
      </c>
    </row>
    <row r="3846" spans="43:44" x14ac:dyDescent="0.25">
      <c r="AQ3846" s="136" t="s">
        <v>54</v>
      </c>
      <c r="AR3846" s="35">
        <v>0</v>
      </c>
    </row>
    <row r="3847" spans="43:44" x14ac:dyDescent="0.25">
      <c r="AQ3847" s="138" t="s">
        <v>54</v>
      </c>
      <c r="AR3847" s="35">
        <v>0</v>
      </c>
    </row>
    <row r="3848" spans="43:44" x14ac:dyDescent="0.25">
      <c r="AQ3848" s="139" t="s">
        <v>60</v>
      </c>
      <c r="AR3848" s="35">
        <v>0</v>
      </c>
    </row>
    <row r="3849" spans="43:44" x14ac:dyDescent="0.25">
      <c r="AQ3849" s="16">
        <v>963</v>
      </c>
      <c r="AR3849" s="35">
        <v>0</v>
      </c>
    </row>
    <row r="3850" spans="43:44" x14ac:dyDescent="0.25">
      <c r="AQ3850" s="136" t="s">
        <v>54</v>
      </c>
      <c r="AR3850" s="35">
        <v>0</v>
      </c>
    </row>
    <row r="3851" spans="43:44" x14ac:dyDescent="0.25">
      <c r="AQ3851" s="138" t="s">
        <v>54</v>
      </c>
      <c r="AR3851" s="35">
        <v>0</v>
      </c>
    </row>
    <row r="3852" spans="43:44" x14ac:dyDescent="0.25">
      <c r="AQ3852" s="139" t="s">
        <v>60</v>
      </c>
      <c r="AR3852" s="35">
        <v>0</v>
      </c>
    </row>
    <row r="3853" spans="43:44" x14ac:dyDescent="0.25">
      <c r="AQ3853" s="16">
        <v>964</v>
      </c>
      <c r="AR3853" s="35">
        <v>0</v>
      </c>
    </row>
    <row r="3854" spans="43:44" x14ac:dyDescent="0.25">
      <c r="AQ3854" s="136" t="s">
        <v>54</v>
      </c>
      <c r="AR3854" s="35">
        <v>0</v>
      </c>
    </row>
    <row r="3855" spans="43:44" x14ac:dyDescent="0.25">
      <c r="AQ3855" s="138" t="s">
        <v>54</v>
      </c>
      <c r="AR3855" s="35">
        <v>0</v>
      </c>
    </row>
    <row r="3856" spans="43:44" x14ac:dyDescent="0.25">
      <c r="AQ3856" s="139" t="s">
        <v>60</v>
      </c>
      <c r="AR3856" s="35">
        <v>0</v>
      </c>
    </row>
    <row r="3857" spans="43:44" x14ac:dyDescent="0.25">
      <c r="AQ3857" s="16">
        <v>965</v>
      </c>
      <c r="AR3857" s="35">
        <v>0</v>
      </c>
    </row>
    <row r="3858" spans="43:44" x14ac:dyDescent="0.25">
      <c r="AQ3858" s="136" t="s">
        <v>54</v>
      </c>
      <c r="AR3858" s="35">
        <v>0</v>
      </c>
    </row>
    <row r="3859" spans="43:44" x14ac:dyDescent="0.25">
      <c r="AQ3859" s="138" t="s">
        <v>54</v>
      </c>
      <c r="AR3859" s="35">
        <v>0</v>
      </c>
    </row>
    <row r="3860" spans="43:44" x14ac:dyDescent="0.25">
      <c r="AQ3860" s="139" t="s">
        <v>60</v>
      </c>
      <c r="AR3860" s="35">
        <v>0</v>
      </c>
    </row>
    <row r="3861" spans="43:44" x14ac:dyDescent="0.25">
      <c r="AQ3861" s="16">
        <v>966</v>
      </c>
      <c r="AR3861" s="35">
        <v>0</v>
      </c>
    </row>
    <row r="3862" spans="43:44" x14ac:dyDescent="0.25">
      <c r="AQ3862" s="136" t="s">
        <v>54</v>
      </c>
      <c r="AR3862" s="35">
        <v>0</v>
      </c>
    </row>
    <row r="3863" spans="43:44" x14ac:dyDescent="0.25">
      <c r="AQ3863" s="138" t="s">
        <v>54</v>
      </c>
      <c r="AR3863" s="35">
        <v>0</v>
      </c>
    </row>
    <row r="3864" spans="43:44" x14ac:dyDescent="0.25">
      <c r="AQ3864" s="139" t="s">
        <v>60</v>
      </c>
      <c r="AR3864" s="35">
        <v>0</v>
      </c>
    </row>
    <row r="3865" spans="43:44" x14ac:dyDescent="0.25">
      <c r="AQ3865" s="16">
        <v>967</v>
      </c>
      <c r="AR3865" s="35">
        <v>0</v>
      </c>
    </row>
    <row r="3866" spans="43:44" x14ac:dyDescent="0.25">
      <c r="AQ3866" s="136" t="s">
        <v>54</v>
      </c>
      <c r="AR3866" s="35">
        <v>0</v>
      </c>
    </row>
    <row r="3867" spans="43:44" x14ac:dyDescent="0.25">
      <c r="AQ3867" s="138" t="s">
        <v>54</v>
      </c>
      <c r="AR3867" s="35">
        <v>0</v>
      </c>
    </row>
    <row r="3868" spans="43:44" x14ac:dyDescent="0.25">
      <c r="AQ3868" s="139" t="s">
        <v>60</v>
      </c>
      <c r="AR3868" s="35">
        <v>0</v>
      </c>
    </row>
    <row r="3869" spans="43:44" x14ac:dyDescent="0.25">
      <c r="AQ3869" s="16">
        <v>968</v>
      </c>
      <c r="AR3869" s="35">
        <v>0</v>
      </c>
    </row>
    <row r="3870" spans="43:44" x14ac:dyDescent="0.25">
      <c r="AQ3870" s="136" t="s">
        <v>54</v>
      </c>
      <c r="AR3870" s="35">
        <v>0</v>
      </c>
    </row>
    <row r="3871" spans="43:44" x14ac:dyDescent="0.25">
      <c r="AQ3871" s="138" t="s">
        <v>54</v>
      </c>
      <c r="AR3871" s="35">
        <v>0</v>
      </c>
    </row>
    <row r="3872" spans="43:44" x14ac:dyDescent="0.25">
      <c r="AQ3872" s="139" t="s">
        <v>60</v>
      </c>
      <c r="AR3872" s="35">
        <v>0</v>
      </c>
    </row>
    <row r="3873" spans="43:44" x14ac:dyDescent="0.25">
      <c r="AQ3873" s="16">
        <v>969</v>
      </c>
      <c r="AR3873" s="35">
        <v>0</v>
      </c>
    </row>
    <row r="3874" spans="43:44" x14ac:dyDescent="0.25">
      <c r="AQ3874" s="136" t="s">
        <v>54</v>
      </c>
      <c r="AR3874" s="35">
        <v>0</v>
      </c>
    </row>
    <row r="3875" spans="43:44" x14ac:dyDescent="0.25">
      <c r="AQ3875" s="138" t="s">
        <v>54</v>
      </c>
      <c r="AR3875" s="35">
        <v>0</v>
      </c>
    </row>
    <row r="3876" spans="43:44" x14ac:dyDescent="0.25">
      <c r="AQ3876" s="139" t="s">
        <v>60</v>
      </c>
      <c r="AR3876" s="35">
        <v>0</v>
      </c>
    </row>
    <row r="3877" spans="43:44" x14ac:dyDescent="0.25">
      <c r="AQ3877" s="16">
        <v>970</v>
      </c>
      <c r="AR3877" s="35">
        <v>0</v>
      </c>
    </row>
    <row r="3878" spans="43:44" x14ac:dyDescent="0.25">
      <c r="AQ3878" s="136" t="s">
        <v>54</v>
      </c>
      <c r="AR3878" s="35">
        <v>0</v>
      </c>
    </row>
    <row r="3879" spans="43:44" x14ac:dyDescent="0.25">
      <c r="AQ3879" s="138" t="s">
        <v>54</v>
      </c>
      <c r="AR3879" s="35">
        <v>0</v>
      </c>
    </row>
    <row r="3880" spans="43:44" x14ac:dyDescent="0.25">
      <c r="AQ3880" s="139" t="s">
        <v>60</v>
      </c>
      <c r="AR3880" s="35">
        <v>0</v>
      </c>
    </row>
    <row r="3881" spans="43:44" x14ac:dyDescent="0.25">
      <c r="AQ3881" s="16">
        <v>971</v>
      </c>
      <c r="AR3881" s="35">
        <v>0</v>
      </c>
    </row>
    <row r="3882" spans="43:44" x14ac:dyDescent="0.25">
      <c r="AQ3882" s="136" t="s">
        <v>54</v>
      </c>
      <c r="AR3882" s="35">
        <v>0</v>
      </c>
    </row>
    <row r="3883" spans="43:44" x14ac:dyDescent="0.25">
      <c r="AQ3883" s="138" t="s">
        <v>54</v>
      </c>
      <c r="AR3883" s="35">
        <v>0</v>
      </c>
    </row>
    <row r="3884" spans="43:44" x14ac:dyDescent="0.25">
      <c r="AQ3884" s="139" t="s">
        <v>60</v>
      </c>
      <c r="AR3884" s="35">
        <v>0</v>
      </c>
    </row>
    <row r="3885" spans="43:44" x14ac:dyDescent="0.25">
      <c r="AQ3885" s="16">
        <v>972</v>
      </c>
      <c r="AR3885" s="35">
        <v>0</v>
      </c>
    </row>
    <row r="3886" spans="43:44" x14ac:dyDescent="0.25">
      <c r="AQ3886" s="136" t="s">
        <v>54</v>
      </c>
      <c r="AR3886" s="35">
        <v>0</v>
      </c>
    </row>
    <row r="3887" spans="43:44" x14ac:dyDescent="0.25">
      <c r="AQ3887" s="138" t="s">
        <v>54</v>
      </c>
      <c r="AR3887" s="35">
        <v>0</v>
      </c>
    </row>
    <row r="3888" spans="43:44" x14ac:dyDescent="0.25">
      <c r="AQ3888" s="139" t="s">
        <v>60</v>
      </c>
      <c r="AR3888" s="35">
        <v>0</v>
      </c>
    </row>
    <row r="3889" spans="43:44" x14ac:dyDescent="0.25">
      <c r="AQ3889" s="16">
        <v>973</v>
      </c>
      <c r="AR3889" s="35">
        <v>0</v>
      </c>
    </row>
    <row r="3890" spans="43:44" x14ac:dyDescent="0.25">
      <c r="AQ3890" s="136" t="s">
        <v>54</v>
      </c>
      <c r="AR3890" s="35">
        <v>0</v>
      </c>
    </row>
    <row r="3891" spans="43:44" x14ac:dyDescent="0.25">
      <c r="AQ3891" s="138" t="s">
        <v>54</v>
      </c>
      <c r="AR3891" s="35">
        <v>0</v>
      </c>
    </row>
    <row r="3892" spans="43:44" x14ac:dyDescent="0.25">
      <c r="AQ3892" s="139" t="s">
        <v>60</v>
      </c>
      <c r="AR3892" s="35">
        <v>0</v>
      </c>
    </row>
    <row r="3893" spans="43:44" x14ac:dyDescent="0.25">
      <c r="AQ3893" s="16">
        <v>974</v>
      </c>
      <c r="AR3893" s="35">
        <v>0</v>
      </c>
    </row>
    <row r="3894" spans="43:44" x14ac:dyDescent="0.25">
      <c r="AQ3894" s="136" t="s">
        <v>54</v>
      </c>
      <c r="AR3894" s="35">
        <v>0</v>
      </c>
    </row>
    <row r="3895" spans="43:44" x14ac:dyDescent="0.25">
      <c r="AQ3895" s="138" t="s">
        <v>54</v>
      </c>
      <c r="AR3895" s="35">
        <v>0</v>
      </c>
    </row>
    <row r="3896" spans="43:44" x14ac:dyDescent="0.25">
      <c r="AQ3896" s="139" t="s">
        <v>60</v>
      </c>
      <c r="AR3896" s="35">
        <v>0</v>
      </c>
    </row>
    <row r="3897" spans="43:44" x14ac:dyDescent="0.25">
      <c r="AQ3897" s="16">
        <v>975</v>
      </c>
      <c r="AR3897" s="35">
        <v>0</v>
      </c>
    </row>
    <row r="3898" spans="43:44" x14ac:dyDescent="0.25">
      <c r="AQ3898" s="136" t="s">
        <v>54</v>
      </c>
      <c r="AR3898" s="35">
        <v>0</v>
      </c>
    </row>
    <row r="3899" spans="43:44" x14ac:dyDescent="0.25">
      <c r="AQ3899" s="138" t="s">
        <v>54</v>
      </c>
      <c r="AR3899" s="35">
        <v>0</v>
      </c>
    </row>
    <row r="3900" spans="43:44" x14ac:dyDescent="0.25">
      <c r="AQ3900" s="139" t="s">
        <v>60</v>
      </c>
      <c r="AR3900" s="35">
        <v>0</v>
      </c>
    </row>
    <row r="3901" spans="43:44" x14ac:dyDescent="0.25">
      <c r="AQ3901" s="16">
        <v>976</v>
      </c>
      <c r="AR3901" s="35">
        <v>0</v>
      </c>
    </row>
    <row r="3902" spans="43:44" x14ac:dyDescent="0.25">
      <c r="AQ3902" s="136" t="s">
        <v>54</v>
      </c>
      <c r="AR3902" s="35">
        <v>0</v>
      </c>
    </row>
    <row r="3903" spans="43:44" x14ac:dyDescent="0.25">
      <c r="AQ3903" s="138" t="s">
        <v>54</v>
      </c>
      <c r="AR3903" s="35">
        <v>0</v>
      </c>
    </row>
    <row r="3904" spans="43:44" x14ac:dyDescent="0.25">
      <c r="AQ3904" s="139" t="s">
        <v>60</v>
      </c>
      <c r="AR3904" s="35">
        <v>0</v>
      </c>
    </row>
    <row r="3905" spans="43:44" x14ac:dyDescent="0.25">
      <c r="AQ3905" s="16">
        <v>977</v>
      </c>
      <c r="AR3905" s="35">
        <v>0</v>
      </c>
    </row>
    <row r="3906" spans="43:44" x14ac:dyDescent="0.25">
      <c r="AQ3906" s="136" t="s">
        <v>54</v>
      </c>
      <c r="AR3906" s="35">
        <v>0</v>
      </c>
    </row>
    <row r="3907" spans="43:44" x14ac:dyDescent="0.25">
      <c r="AQ3907" s="138" t="s">
        <v>54</v>
      </c>
      <c r="AR3907" s="35">
        <v>0</v>
      </c>
    </row>
    <row r="3908" spans="43:44" x14ac:dyDescent="0.25">
      <c r="AQ3908" s="139" t="s">
        <v>60</v>
      </c>
      <c r="AR3908" s="35">
        <v>0</v>
      </c>
    </row>
    <row r="3909" spans="43:44" x14ac:dyDescent="0.25">
      <c r="AQ3909" s="16">
        <v>978</v>
      </c>
      <c r="AR3909" s="35">
        <v>0</v>
      </c>
    </row>
    <row r="3910" spans="43:44" x14ac:dyDescent="0.25">
      <c r="AQ3910" s="136" t="s">
        <v>54</v>
      </c>
      <c r="AR3910" s="35">
        <v>0</v>
      </c>
    </row>
    <row r="3911" spans="43:44" x14ac:dyDescent="0.25">
      <c r="AQ3911" s="138" t="s">
        <v>54</v>
      </c>
      <c r="AR3911" s="35">
        <v>0</v>
      </c>
    </row>
    <row r="3912" spans="43:44" x14ac:dyDescent="0.25">
      <c r="AQ3912" s="139" t="s">
        <v>60</v>
      </c>
      <c r="AR3912" s="35">
        <v>0</v>
      </c>
    </row>
    <row r="3913" spans="43:44" x14ac:dyDescent="0.25">
      <c r="AQ3913" s="16">
        <v>979</v>
      </c>
      <c r="AR3913" s="35">
        <v>0</v>
      </c>
    </row>
    <row r="3914" spans="43:44" x14ac:dyDescent="0.25">
      <c r="AQ3914" s="136" t="s">
        <v>54</v>
      </c>
      <c r="AR3914" s="35">
        <v>0</v>
      </c>
    </row>
    <row r="3915" spans="43:44" x14ac:dyDescent="0.25">
      <c r="AQ3915" s="138" t="s">
        <v>54</v>
      </c>
      <c r="AR3915" s="35">
        <v>0</v>
      </c>
    </row>
    <row r="3916" spans="43:44" x14ac:dyDescent="0.25">
      <c r="AQ3916" s="139" t="s">
        <v>60</v>
      </c>
      <c r="AR3916" s="35">
        <v>0</v>
      </c>
    </row>
    <row r="3917" spans="43:44" x14ac:dyDescent="0.25">
      <c r="AQ3917" s="16">
        <v>980</v>
      </c>
      <c r="AR3917" s="35">
        <v>0</v>
      </c>
    </row>
    <row r="3918" spans="43:44" x14ac:dyDescent="0.25">
      <c r="AQ3918" s="136" t="s">
        <v>54</v>
      </c>
      <c r="AR3918" s="35">
        <v>0</v>
      </c>
    </row>
    <row r="3919" spans="43:44" x14ac:dyDescent="0.25">
      <c r="AQ3919" s="138" t="s">
        <v>54</v>
      </c>
      <c r="AR3919" s="35">
        <v>0</v>
      </c>
    </row>
    <row r="3920" spans="43:44" x14ac:dyDescent="0.25">
      <c r="AQ3920" s="139" t="s">
        <v>60</v>
      </c>
      <c r="AR3920" s="35">
        <v>0</v>
      </c>
    </row>
    <row r="3921" spans="43:44" x14ac:dyDescent="0.25">
      <c r="AQ3921" s="16">
        <v>981</v>
      </c>
      <c r="AR3921" s="35">
        <v>0</v>
      </c>
    </row>
    <row r="3922" spans="43:44" x14ac:dyDescent="0.25">
      <c r="AQ3922" s="136" t="s">
        <v>54</v>
      </c>
      <c r="AR3922" s="35">
        <v>0</v>
      </c>
    </row>
    <row r="3923" spans="43:44" x14ac:dyDescent="0.25">
      <c r="AQ3923" s="138" t="s">
        <v>54</v>
      </c>
      <c r="AR3923" s="35">
        <v>0</v>
      </c>
    </row>
    <row r="3924" spans="43:44" x14ac:dyDescent="0.25">
      <c r="AQ3924" s="139" t="s">
        <v>60</v>
      </c>
      <c r="AR3924" s="35">
        <v>0</v>
      </c>
    </row>
    <row r="3925" spans="43:44" x14ac:dyDescent="0.25">
      <c r="AQ3925" s="16">
        <v>982</v>
      </c>
      <c r="AR3925" s="35">
        <v>0</v>
      </c>
    </row>
    <row r="3926" spans="43:44" x14ac:dyDescent="0.25">
      <c r="AQ3926" s="136" t="s">
        <v>54</v>
      </c>
      <c r="AR3926" s="35">
        <v>0</v>
      </c>
    </row>
    <row r="3927" spans="43:44" x14ac:dyDescent="0.25">
      <c r="AQ3927" s="138" t="s">
        <v>54</v>
      </c>
      <c r="AR3927" s="35">
        <v>0</v>
      </c>
    </row>
    <row r="3928" spans="43:44" x14ac:dyDescent="0.25">
      <c r="AQ3928" s="139" t="s">
        <v>60</v>
      </c>
      <c r="AR3928" s="35">
        <v>0</v>
      </c>
    </row>
    <row r="3929" spans="43:44" x14ac:dyDescent="0.25">
      <c r="AQ3929" s="16">
        <v>983</v>
      </c>
      <c r="AR3929" s="35">
        <v>0</v>
      </c>
    </row>
    <row r="3930" spans="43:44" x14ac:dyDescent="0.25">
      <c r="AQ3930" s="136" t="s">
        <v>54</v>
      </c>
      <c r="AR3930" s="35">
        <v>0</v>
      </c>
    </row>
    <row r="3931" spans="43:44" x14ac:dyDescent="0.25">
      <c r="AQ3931" s="138" t="s">
        <v>54</v>
      </c>
      <c r="AR3931" s="35">
        <v>0</v>
      </c>
    </row>
    <row r="3932" spans="43:44" x14ac:dyDescent="0.25">
      <c r="AQ3932" s="139" t="s">
        <v>60</v>
      </c>
      <c r="AR3932" s="35">
        <v>0</v>
      </c>
    </row>
    <row r="3933" spans="43:44" x14ac:dyDescent="0.25">
      <c r="AQ3933" s="16">
        <v>984</v>
      </c>
      <c r="AR3933" s="35">
        <v>0</v>
      </c>
    </row>
    <row r="3934" spans="43:44" x14ac:dyDescent="0.25">
      <c r="AQ3934" s="136" t="s">
        <v>54</v>
      </c>
      <c r="AR3934" s="35">
        <v>0</v>
      </c>
    </row>
    <row r="3935" spans="43:44" x14ac:dyDescent="0.25">
      <c r="AQ3935" s="138" t="s">
        <v>54</v>
      </c>
      <c r="AR3935" s="35">
        <v>0</v>
      </c>
    </row>
    <row r="3936" spans="43:44" x14ac:dyDescent="0.25">
      <c r="AQ3936" s="139" t="s">
        <v>60</v>
      </c>
      <c r="AR3936" s="35">
        <v>0</v>
      </c>
    </row>
    <row r="3937" spans="43:44" x14ac:dyDescent="0.25">
      <c r="AQ3937" s="16">
        <v>985</v>
      </c>
      <c r="AR3937" s="35">
        <v>0</v>
      </c>
    </row>
    <row r="3938" spans="43:44" x14ac:dyDescent="0.25">
      <c r="AQ3938" s="136" t="s">
        <v>54</v>
      </c>
      <c r="AR3938" s="35">
        <v>0</v>
      </c>
    </row>
    <row r="3939" spans="43:44" x14ac:dyDescent="0.25">
      <c r="AQ3939" s="138" t="s">
        <v>54</v>
      </c>
      <c r="AR3939" s="35">
        <v>0</v>
      </c>
    </row>
    <row r="3940" spans="43:44" x14ac:dyDescent="0.25">
      <c r="AQ3940" s="139" t="s">
        <v>60</v>
      </c>
      <c r="AR3940" s="35">
        <v>0</v>
      </c>
    </row>
    <row r="3941" spans="43:44" x14ac:dyDescent="0.25">
      <c r="AQ3941" s="16">
        <v>986</v>
      </c>
      <c r="AR3941" s="35">
        <v>0</v>
      </c>
    </row>
    <row r="3942" spans="43:44" x14ac:dyDescent="0.25">
      <c r="AQ3942" s="136" t="s">
        <v>54</v>
      </c>
      <c r="AR3942" s="35">
        <v>0</v>
      </c>
    </row>
    <row r="3943" spans="43:44" x14ac:dyDescent="0.25">
      <c r="AQ3943" s="138" t="s">
        <v>54</v>
      </c>
      <c r="AR3943" s="35">
        <v>0</v>
      </c>
    </row>
    <row r="3944" spans="43:44" x14ac:dyDescent="0.25">
      <c r="AQ3944" s="139" t="s">
        <v>60</v>
      </c>
      <c r="AR3944" s="35">
        <v>0</v>
      </c>
    </row>
    <row r="3945" spans="43:44" x14ac:dyDescent="0.25">
      <c r="AQ3945" s="16">
        <v>987</v>
      </c>
      <c r="AR3945" s="35">
        <v>0</v>
      </c>
    </row>
    <row r="3946" spans="43:44" x14ac:dyDescent="0.25">
      <c r="AQ3946" s="136" t="s">
        <v>54</v>
      </c>
      <c r="AR3946" s="35">
        <v>0</v>
      </c>
    </row>
    <row r="3947" spans="43:44" x14ac:dyDescent="0.25">
      <c r="AQ3947" s="138" t="s">
        <v>54</v>
      </c>
      <c r="AR3947" s="35">
        <v>0</v>
      </c>
    </row>
    <row r="3948" spans="43:44" x14ac:dyDescent="0.25">
      <c r="AQ3948" s="139" t="s">
        <v>60</v>
      </c>
      <c r="AR3948" s="35">
        <v>0</v>
      </c>
    </row>
    <row r="3949" spans="43:44" x14ac:dyDescent="0.25">
      <c r="AQ3949" s="16">
        <v>988</v>
      </c>
      <c r="AR3949" s="35">
        <v>0</v>
      </c>
    </row>
    <row r="3950" spans="43:44" x14ac:dyDescent="0.25">
      <c r="AQ3950" s="136" t="s">
        <v>54</v>
      </c>
      <c r="AR3950" s="35">
        <v>0</v>
      </c>
    </row>
    <row r="3951" spans="43:44" x14ac:dyDescent="0.25">
      <c r="AQ3951" s="138" t="s">
        <v>54</v>
      </c>
      <c r="AR3951" s="35">
        <v>0</v>
      </c>
    </row>
    <row r="3952" spans="43:44" x14ac:dyDescent="0.25">
      <c r="AQ3952" s="139" t="s">
        <v>60</v>
      </c>
      <c r="AR3952" s="35">
        <v>0</v>
      </c>
    </row>
    <row r="3953" spans="43:44" x14ac:dyDescent="0.25">
      <c r="AQ3953" s="16">
        <v>989</v>
      </c>
      <c r="AR3953" s="35">
        <v>0</v>
      </c>
    </row>
    <row r="3954" spans="43:44" x14ac:dyDescent="0.25">
      <c r="AQ3954" s="136" t="s">
        <v>54</v>
      </c>
      <c r="AR3954" s="35">
        <v>0</v>
      </c>
    </row>
    <row r="3955" spans="43:44" x14ac:dyDescent="0.25">
      <c r="AQ3955" s="138" t="s">
        <v>54</v>
      </c>
      <c r="AR3955" s="35">
        <v>0</v>
      </c>
    </row>
    <row r="3956" spans="43:44" x14ac:dyDescent="0.25">
      <c r="AQ3956" s="139" t="s">
        <v>60</v>
      </c>
      <c r="AR3956" s="35">
        <v>0</v>
      </c>
    </row>
    <row r="3957" spans="43:44" x14ac:dyDescent="0.25">
      <c r="AQ3957" s="16">
        <v>990</v>
      </c>
      <c r="AR3957" s="35">
        <v>0</v>
      </c>
    </row>
    <row r="3958" spans="43:44" x14ac:dyDescent="0.25">
      <c r="AQ3958" s="136" t="s">
        <v>54</v>
      </c>
      <c r="AR3958" s="35">
        <v>0</v>
      </c>
    </row>
    <row r="3959" spans="43:44" x14ac:dyDescent="0.25">
      <c r="AQ3959" s="138" t="s">
        <v>54</v>
      </c>
      <c r="AR3959" s="35">
        <v>0</v>
      </c>
    </row>
    <row r="3960" spans="43:44" x14ac:dyDescent="0.25">
      <c r="AQ3960" s="139" t="s">
        <v>60</v>
      </c>
      <c r="AR3960" s="35">
        <v>0</v>
      </c>
    </row>
    <row r="3961" spans="43:44" x14ac:dyDescent="0.25">
      <c r="AQ3961" s="16">
        <v>991</v>
      </c>
      <c r="AR3961" s="35">
        <v>0</v>
      </c>
    </row>
    <row r="3962" spans="43:44" x14ac:dyDescent="0.25">
      <c r="AQ3962" s="136" t="s">
        <v>54</v>
      </c>
      <c r="AR3962" s="35">
        <v>0</v>
      </c>
    </row>
    <row r="3963" spans="43:44" x14ac:dyDescent="0.25">
      <c r="AQ3963" s="138" t="s">
        <v>54</v>
      </c>
      <c r="AR3963" s="35">
        <v>0</v>
      </c>
    </row>
    <row r="3964" spans="43:44" x14ac:dyDescent="0.25">
      <c r="AQ3964" s="139" t="s">
        <v>60</v>
      </c>
      <c r="AR3964" s="35">
        <v>0</v>
      </c>
    </row>
    <row r="3965" spans="43:44" x14ac:dyDescent="0.25">
      <c r="AQ3965" s="16">
        <v>992</v>
      </c>
      <c r="AR3965" s="35">
        <v>0</v>
      </c>
    </row>
    <row r="3966" spans="43:44" x14ac:dyDescent="0.25">
      <c r="AQ3966" s="136" t="s">
        <v>54</v>
      </c>
      <c r="AR3966" s="35">
        <v>0</v>
      </c>
    </row>
    <row r="3967" spans="43:44" x14ac:dyDescent="0.25">
      <c r="AQ3967" s="138" t="s">
        <v>54</v>
      </c>
      <c r="AR3967" s="35">
        <v>0</v>
      </c>
    </row>
    <row r="3968" spans="43:44" x14ac:dyDescent="0.25">
      <c r="AQ3968" s="139" t="s">
        <v>60</v>
      </c>
      <c r="AR3968" s="35">
        <v>0</v>
      </c>
    </row>
    <row r="3969" spans="43:44" x14ac:dyDescent="0.25">
      <c r="AQ3969" s="16">
        <v>993</v>
      </c>
      <c r="AR3969" s="35">
        <v>0</v>
      </c>
    </row>
    <row r="3970" spans="43:44" x14ac:dyDescent="0.25">
      <c r="AQ3970" s="136" t="s">
        <v>54</v>
      </c>
      <c r="AR3970" s="35">
        <v>0</v>
      </c>
    </row>
    <row r="3971" spans="43:44" x14ac:dyDescent="0.25">
      <c r="AQ3971" s="138" t="s">
        <v>54</v>
      </c>
      <c r="AR3971" s="35">
        <v>0</v>
      </c>
    </row>
    <row r="3972" spans="43:44" x14ac:dyDescent="0.25">
      <c r="AQ3972" s="139" t="s">
        <v>60</v>
      </c>
      <c r="AR3972" s="35">
        <v>0</v>
      </c>
    </row>
    <row r="3973" spans="43:44" x14ac:dyDescent="0.25">
      <c r="AQ3973" s="16">
        <v>994</v>
      </c>
      <c r="AR3973" s="35">
        <v>0</v>
      </c>
    </row>
    <row r="3974" spans="43:44" x14ac:dyDescent="0.25">
      <c r="AQ3974" s="136" t="s">
        <v>54</v>
      </c>
      <c r="AR3974" s="35">
        <v>0</v>
      </c>
    </row>
    <row r="3975" spans="43:44" x14ac:dyDescent="0.25">
      <c r="AQ3975" s="138" t="s">
        <v>54</v>
      </c>
      <c r="AR3975" s="35">
        <v>0</v>
      </c>
    </row>
    <row r="3976" spans="43:44" x14ac:dyDescent="0.25">
      <c r="AQ3976" s="139" t="s">
        <v>60</v>
      </c>
      <c r="AR3976" s="35">
        <v>0</v>
      </c>
    </row>
    <row r="3977" spans="43:44" x14ac:dyDescent="0.25">
      <c r="AQ3977" s="16">
        <v>995</v>
      </c>
      <c r="AR3977" s="35">
        <v>0</v>
      </c>
    </row>
    <row r="3978" spans="43:44" x14ac:dyDescent="0.25">
      <c r="AQ3978" s="136" t="s">
        <v>54</v>
      </c>
      <c r="AR3978" s="35">
        <v>0</v>
      </c>
    </row>
    <row r="3979" spans="43:44" x14ac:dyDescent="0.25">
      <c r="AQ3979" s="138" t="s">
        <v>54</v>
      </c>
      <c r="AR3979" s="35">
        <v>0</v>
      </c>
    </row>
    <row r="3980" spans="43:44" x14ac:dyDescent="0.25">
      <c r="AQ3980" s="139" t="s">
        <v>60</v>
      </c>
      <c r="AR3980" s="35">
        <v>0</v>
      </c>
    </row>
    <row r="3981" spans="43:44" x14ac:dyDescent="0.25">
      <c r="AQ3981" s="16">
        <v>996</v>
      </c>
      <c r="AR3981" s="35">
        <v>0</v>
      </c>
    </row>
    <row r="3982" spans="43:44" x14ac:dyDescent="0.25">
      <c r="AQ3982" s="136" t="s">
        <v>54</v>
      </c>
      <c r="AR3982" s="35">
        <v>0</v>
      </c>
    </row>
    <row r="3983" spans="43:44" x14ac:dyDescent="0.25">
      <c r="AQ3983" s="138" t="s">
        <v>54</v>
      </c>
      <c r="AR3983" s="35">
        <v>0</v>
      </c>
    </row>
    <row r="3984" spans="43:44" x14ac:dyDescent="0.25">
      <c r="AQ3984" s="139" t="s">
        <v>60</v>
      </c>
      <c r="AR3984" s="35">
        <v>0</v>
      </c>
    </row>
    <row r="3985" spans="43:44" x14ac:dyDescent="0.25">
      <c r="AQ3985" s="16">
        <v>997</v>
      </c>
      <c r="AR3985" s="35">
        <v>0</v>
      </c>
    </row>
    <row r="3986" spans="43:44" x14ac:dyDescent="0.25">
      <c r="AQ3986" s="136" t="s">
        <v>54</v>
      </c>
      <c r="AR3986" s="35">
        <v>0</v>
      </c>
    </row>
    <row r="3987" spans="43:44" x14ac:dyDescent="0.25">
      <c r="AQ3987" s="138" t="s">
        <v>54</v>
      </c>
      <c r="AR3987" s="35">
        <v>0</v>
      </c>
    </row>
    <row r="3988" spans="43:44" x14ac:dyDescent="0.25">
      <c r="AQ3988" s="139" t="s">
        <v>60</v>
      </c>
      <c r="AR3988" s="35">
        <v>0</v>
      </c>
    </row>
    <row r="3989" spans="43:44" x14ac:dyDescent="0.25">
      <c r="AQ3989" s="16">
        <v>998</v>
      </c>
      <c r="AR3989" s="35">
        <v>0</v>
      </c>
    </row>
    <row r="3990" spans="43:44" x14ac:dyDescent="0.25">
      <c r="AQ3990" s="136" t="s">
        <v>54</v>
      </c>
      <c r="AR3990" s="35">
        <v>0</v>
      </c>
    </row>
    <row r="3991" spans="43:44" x14ac:dyDescent="0.25">
      <c r="AQ3991" s="138" t="s">
        <v>54</v>
      </c>
      <c r="AR3991" s="35">
        <v>0</v>
      </c>
    </row>
    <row r="3992" spans="43:44" x14ac:dyDescent="0.25">
      <c r="AQ3992" s="139" t="s">
        <v>60</v>
      </c>
      <c r="AR3992" s="35">
        <v>0</v>
      </c>
    </row>
    <row r="3993" spans="43:44" x14ac:dyDescent="0.25">
      <c r="AQ3993" s="16">
        <v>999</v>
      </c>
      <c r="AR3993" s="35">
        <v>0</v>
      </c>
    </row>
    <row r="3994" spans="43:44" x14ac:dyDescent="0.25">
      <c r="AQ3994" s="136" t="s">
        <v>54</v>
      </c>
      <c r="AR3994" s="35">
        <v>0</v>
      </c>
    </row>
    <row r="3995" spans="43:44" x14ac:dyDescent="0.25">
      <c r="AQ3995" s="138" t="s">
        <v>54</v>
      </c>
      <c r="AR3995" s="35">
        <v>0</v>
      </c>
    </row>
    <row r="3996" spans="43:44" x14ac:dyDescent="0.25">
      <c r="AQ3996" s="139" t="s">
        <v>60</v>
      </c>
      <c r="AR3996" s="35">
        <v>0</v>
      </c>
    </row>
    <row r="3997" spans="43:44" x14ac:dyDescent="0.25">
      <c r="AQ3997" s="16">
        <v>1000</v>
      </c>
      <c r="AR3997" s="35">
        <v>0</v>
      </c>
    </row>
    <row r="3998" spans="43:44" x14ac:dyDescent="0.25">
      <c r="AQ3998" s="136" t="s">
        <v>54</v>
      </c>
      <c r="AR3998" s="35">
        <v>0</v>
      </c>
    </row>
    <row r="3999" spans="43:44" x14ac:dyDescent="0.25">
      <c r="AQ3999" s="138" t="s">
        <v>54</v>
      </c>
      <c r="AR3999" s="35">
        <v>0</v>
      </c>
    </row>
    <row r="4000" spans="43:44" x14ac:dyDescent="0.25">
      <c r="AQ4000" s="139" t="s">
        <v>60</v>
      </c>
      <c r="AR4000" s="35">
        <v>0</v>
      </c>
    </row>
    <row r="4001" spans="43:44" x14ac:dyDescent="0.25">
      <c r="AQ4001" s="16" t="s">
        <v>58</v>
      </c>
      <c r="AR4001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87"/>
  <sheetViews>
    <sheetView zoomScale="80" zoomScaleNormal="80" workbookViewId="0">
      <pane xSplit="2" ySplit="6" topLeftCell="C7" activePane="bottomRight" state="frozen"/>
      <selection activeCell="R8" sqref="R8"/>
      <selection pane="topRight" activeCell="R8" sqref="R8"/>
      <selection pane="bottomLeft" activeCell="R8" sqref="R8"/>
      <selection pane="bottomRight" activeCell="H6" sqref="H6"/>
    </sheetView>
  </sheetViews>
  <sheetFormatPr defaultColWidth="10.7109375" defaultRowHeight="15" x14ac:dyDescent="0.25"/>
  <cols>
    <col min="1" max="1" width="4.140625" style="20" customWidth="1"/>
    <col min="2" max="2" width="4.7109375" style="20" customWidth="1"/>
    <col min="3" max="3" width="12.42578125" style="20" customWidth="1"/>
    <col min="4" max="4" width="9.42578125" style="20" customWidth="1"/>
    <col min="5" max="5" width="11.7109375" style="20" customWidth="1"/>
    <col min="6" max="6" width="8.7109375" style="20" customWidth="1"/>
    <col min="7" max="7" width="6.7109375" style="20" customWidth="1"/>
    <col min="8" max="8" width="11.5703125" style="20" customWidth="1"/>
    <col min="9" max="9" width="11.140625" style="20" customWidth="1"/>
    <col min="10" max="10" width="11" style="20" customWidth="1"/>
    <col min="11" max="11" width="6.42578125" style="20" customWidth="1"/>
    <col min="12" max="12" width="12.42578125" style="20" bestFit="1" customWidth="1"/>
    <col min="13" max="13" width="11.42578125" style="20" customWidth="1"/>
    <col min="14" max="14" width="12" style="20" customWidth="1"/>
    <col min="15" max="15" width="11.140625" style="20" customWidth="1"/>
    <col min="16" max="16" width="2.140625" style="20" hidden="1" customWidth="1"/>
    <col min="17" max="17" width="14.42578125" style="20" customWidth="1"/>
    <col min="18" max="18" width="19.7109375" style="20" customWidth="1"/>
    <col min="19" max="19" width="19.7109375" style="20" hidden="1" customWidth="1"/>
    <col min="20" max="20" width="14.42578125" style="20" customWidth="1"/>
    <col min="21" max="21" width="12.28515625" style="20" customWidth="1"/>
    <col min="22" max="22" width="11" style="20" customWidth="1"/>
    <col min="23" max="23" width="9.7109375" style="20" customWidth="1"/>
    <col min="24" max="24" width="10.7109375" style="20" customWidth="1"/>
    <col min="25" max="25" width="27.42578125" style="20" customWidth="1"/>
    <col min="26" max="26" width="27.28515625" style="20" customWidth="1"/>
    <col min="27" max="27" width="66.28515625" style="20" customWidth="1"/>
    <col min="28" max="29" width="34" style="20" hidden="1" customWidth="1"/>
    <col min="30" max="40" width="10.7109375" style="20" customWidth="1"/>
    <col min="41" max="16384" width="10.7109375" style="20"/>
  </cols>
  <sheetData>
    <row r="1" spans="1:30" ht="50.25" customHeight="1" x14ac:dyDescent="0.25">
      <c r="A1" s="25"/>
      <c r="B1" s="22" t="s">
        <v>61</v>
      </c>
      <c r="C1" s="6"/>
      <c r="D1" s="7"/>
      <c r="E1" s="7"/>
      <c r="F1" s="7"/>
      <c r="G1" s="7"/>
      <c r="H1" s="7"/>
      <c r="I1" s="7"/>
      <c r="J1" s="6"/>
      <c r="K1" s="8"/>
      <c r="L1" s="8"/>
      <c r="M1" s="9"/>
      <c r="N1" s="9"/>
      <c r="O1" s="9"/>
      <c r="P1" s="9"/>
      <c r="Q1" s="9"/>
      <c r="R1" s="9"/>
      <c r="S1" s="9"/>
    </row>
    <row r="2" spans="1:30" ht="33" customHeight="1" thickBot="1" x14ac:dyDescent="0.35">
      <c r="A2" s="26"/>
      <c r="B2" s="10" t="s">
        <v>62</v>
      </c>
      <c r="C2" s="6"/>
      <c r="D2" s="11"/>
      <c r="E2" s="11"/>
      <c r="F2" s="11"/>
      <c r="G2" s="11"/>
      <c r="H2" s="11"/>
      <c r="I2" s="11"/>
      <c r="J2" s="12"/>
      <c r="K2" s="13"/>
      <c r="L2" s="11"/>
      <c r="M2" s="207" t="s">
        <v>63</v>
      </c>
      <c r="N2" s="208"/>
      <c r="O2" s="208"/>
      <c r="P2" s="31"/>
      <c r="Q2" s="31"/>
      <c r="R2" s="21">
        <v>1</v>
      </c>
      <c r="S2" s="38"/>
      <c r="T2" s="34"/>
      <c r="U2" s="23"/>
      <c r="V2" s="23"/>
      <c r="W2" s="23"/>
      <c r="X2" s="23"/>
      <c r="Y2" s="23"/>
      <c r="Z2" s="23"/>
      <c r="AA2" s="23"/>
    </row>
    <row r="3" spans="1:30" ht="32.25" customHeight="1" x14ac:dyDescent="0.3">
      <c r="A3" s="26"/>
      <c r="B3" s="12"/>
      <c r="C3" s="14"/>
      <c r="D3" s="12"/>
      <c r="E3" s="12"/>
      <c r="F3" s="12"/>
      <c r="G3" s="12"/>
      <c r="H3" s="12"/>
      <c r="I3" s="12"/>
      <c r="J3" s="12"/>
      <c r="K3" s="12"/>
      <c r="L3" s="12"/>
      <c r="M3" s="207" t="s">
        <v>64</v>
      </c>
      <c r="N3" s="208"/>
      <c r="O3" s="208"/>
      <c r="P3" s="31"/>
      <c r="Q3" s="31"/>
      <c r="R3" s="30">
        <f>SUM(V7:V103)+R2</f>
        <v>1.0036</v>
      </c>
      <c r="S3" s="30"/>
      <c r="T3" s="33"/>
      <c r="U3" s="23"/>
      <c r="V3" s="23"/>
      <c r="W3" s="23"/>
      <c r="X3" s="23"/>
      <c r="Y3" s="23"/>
      <c r="Z3" s="23"/>
      <c r="AA3" s="23"/>
    </row>
    <row r="4" spans="1:30" ht="15.75" customHeight="1" thickBot="1" x14ac:dyDescent="0.3">
      <c r="B4" s="19"/>
    </row>
    <row r="5" spans="1:30" ht="24" customHeight="1" thickBot="1" x14ac:dyDescent="0.4">
      <c r="B5" s="81"/>
      <c r="C5" s="204" t="s">
        <v>65</v>
      </c>
      <c r="D5" s="205"/>
      <c r="E5" s="205"/>
      <c r="F5" s="205"/>
      <c r="G5" s="205"/>
      <c r="H5" s="205"/>
      <c r="I5" s="205"/>
      <c r="J5" s="205"/>
      <c r="K5" s="205"/>
      <c r="L5" s="206"/>
      <c r="M5" s="204" t="s">
        <v>66</v>
      </c>
      <c r="N5" s="205"/>
      <c r="O5" s="205"/>
      <c r="P5" s="205"/>
      <c r="Q5" s="206"/>
      <c r="R5" s="135" t="s">
        <v>67</v>
      </c>
      <c r="S5" s="82"/>
      <c r="T5" s="209" t="s">
        <v>68</v>
      </c>
      <c r="U5" s="205"/>
      <c r="V5" s="205"/>
      <c r="W5" s="205"/>
      <c r="X5" s="206"/>
      <c r="Y5" s="204" t="s">
        <v>69</v>
      </c>
      <c r="Z5" s="206"/>
      <c r="AA5" s="83"/>
      <c r="AB5" s="39"/>
      <c r="AC5" s="24"/>
    </row>
    <row r="6" spans="1:30" ht="21.75" customHeight="1" thickBot="1" x14ac:dyDescent="0.3">
      <c r="B6" s="70" t="s">
        <v>70</v>
      </c>
      <c r="C6" s="71" t="s">
        <v>1</v>
      </c>
      <c r="D6" s="72" t="s">
        <v>71</v>
      </c>
      <c r="E6" s="72" t="s">
        <v>72</v>
      </c>
      <c r="F6" s="72" t="s">
        <v>73</v>
      </c>
      <c r="G6" s="72" t="s">
        <v>74</v>
      </c>
      <c r="H6" s="72" t="s">
        <v>75</v>
      </c>
      <c r="I6" s="72" t="s">
        <v>76</v>
      </c>
      <c r="J6" s="72" t="s">
        <v>77</v>
      </c>
      <c r="K6" s="73" t="s">
        <v>78</v>
      </c>
      <c r="L6" s="74" t="s">
        <v>79</v>
      </c>
      <c r="M6" s="177" t="s">
        <v>77</v>
      </c>
      <c r="N6" s="72" t="s">
        <v>80</v>
      </c>
      <c r="O6" s="72" t="s">
        <v>81</v>
      </c>
      <c r="P6" s="72" t="s">
        <v>82</v>
      </c>
      <c r="Q6" s="75" t="s">
        <v>83</v>
      </c>
      <c r="R6" s="76" t="s">
        <v>84</v>
      </c>
      <c r="S6" s="77" t="s">
        <v>85</v>
      </c>
      <c r="T6" s="71" t="s">
        <v>86</v>
      </c>
      <c r="U6" s="73" t="s">
        <v>87</v>
      </c>
      <c r="V6" s="73" t="s">
        <v>88</v>
      </c>
      <c r="W6" s="73" t="s">
        <v>89</v>
      </c>
      <c r="X6" s="74" t="s">
        <v>90</v>
      </c>
      <c r="Y6" s="78" t="s">
        <v>91</v>
      </c>
      <c r="Z6" s="79" t="s">
        <v>92</v>
      </c>
      <c r="AA6" s="80" t="s">
        <v>93</v>
      </c>
      <c r="AB6" s="39"/>
      <c r="AC6" s="36" t="s">
        <v>85</v>
      </c>
    </row>
    <row r="7" spans="1:30" x14ac:dyDescent="0.25">
      <c r="B7" s="56">
        <v>1</v>
      </c>
      <c r="C7" s="168">
        <v>45516</v>
      </c>
      <c r="D7" s="50" t="s">
        <v>94</v>
      </c>
      <c r="E7" s="29" t="s">
        <v>24</v>
      </c>
      <c r="F7" s="48">
        <v>8.0000000000000004E-4</v>
      </c>
      <c r="G7" s="29" t="s">
        <v>95</v>
      </c>
      <c r="H7" s="186">
        <v>18686</v>
      </c>
      <c r="I7" s="186">
        <v>18682</v>
      </c>
      <c r="J7" s="195">
        <v>18704</v>
      </c>
      <c r="K7" s="84" t="str">
        <f t="shared" ref="K7:K70" si="0">IF(OR(ISBLANK(H7),ISBLANK(I7)),"",IF(H7 &lt; I7, "SHORT", IF(H7 &gt; I7, "LONG", "")))</f>
        <v>LONG</v>
      </c>
      <c r="L7" s="85">
        <f>IF(OR(ISBLANK(J7),ISBLANK(H7),ISBLANK(I7)),"",ABS(J7-H7)/ABS(H7-I7))</f>
        <v>4.5</v>
      </c>
      <c r="M7" s="186">
        <v>18704</v>
      </c>
      <c r="N7" s="186"/>
      <c r="O7" s="186"/>
      <c r="P7" s="187"/>
      <c r="Q7" s="186"/>
      <c r="R7" s="188">
        <v>18704</v>
      </c>
      <c r="S7" s="53">
        <f t="shared" ref="S7:S70" si="1">IF(COUNTIFS($C$7:$C$1000, "&lt;="&amp;C7, $X$7:$X$1000, "Win") = 0, "", IF(COUNTIFS($C$7:$C$1000, "&lt;="&amp;C7, $X$7:$X$1000, "&lt;&gt;"&amp;"") = 0, "", COUNTIFS($C$7:$C$1000, "&lt;="&amp;C7, $X$7:$X$1000, "Win")/COUNTIFS($C$7:$C$1000, "&lt;="&amp;C7, $X$7:$X$1000, "&lt;&gt;"&amp;"")))</f>
        <v>1</v>
      </c>
      <c r="T7" s="59" t="str">
        <f t="shared" ref="T7:T70" si="2">IF(ISBLANK(R7),IF(ISBLANK(H7),"","Open"),"Closed")</f>
        <v>Closed</v>
      </c>
      <c r="U7" s="60">
        <f>IF(OR(ISBLANK(Trades!R7), ISBLANK(Trades!H7), ISBLANK(Trades!I7)), "", IF(Trades!H7=Trades!I7, "N/A", (Trades!R7-Trades!H7)/(Trades!H7-Trades!I7)))</f>
        <v>4.5</v>
      </c>
      <c r="V7" s="61">
        <f t="shared" ref="V7:V70" si="3">IF(U7="","",U7*F7)</f>
        <v>3.6000000000000003E-3</v>
      </c>
      <c r="W7" s="66" t="str">
        <f t="shared" ref="W7:W70" si="4">IF(ISBLANK(R7),"",IF(H7&gt;I7,IF(I7&gt;=R7,"SL Hit",IF(O7&lt;&gt;"","PT3 Hit",IF(N7&lt;&gt;"","PT2 Hit",IF(M7&lt;&gt;"","PT1 Hit","")))),IF(I7&lt;=R7,"SL Hit",IF(O7&lt;&gt;"","PT3 Hit",IF(N7&lt;&gt;"","PT2 Hit",IF(M7&lt;&gt;"","PT1 Hit",""))))))</f>
        <v>PT1 Hit</v>
      </c>
      <c r="X7" s="62" t="str">
        <f t="shared" ref="X7:X70" si="5">IF(ISBLANK(R7),"",IF(H7&gt;I7, IF(R7&gt;=H7, "Win", "Loss"), IF(R7&lt;=H7, "Win", "Loss")))</f>
        <v>Win</v>
      </c>
      <c r="Y7" s="49"/>
      <c r="Z7" s="185"/>
      <c r="AA7" s="184"/>
      <c r="AB7" s="39"/>
      <c r="AC7" s="37">
        <f t="shared" ref="AC7:AC70" si="6">IFERROR(COUNTIFS($C$7:$C$1000,"&gt;="&amp;DATE(YEAR(C7),MONTH(C7),1),$C$7:$C$1000,"&lt;="&amp;EOMONTH(C7,0),$X$7:$X$1000,"Win")/COUNTIFS($C$7:$C$1000,"&gt;="&amp;DATE(YEAR(C7),MONTH(C7),1),$C$7:$C$1000,"&lt;="&amp;EOMONTH(C7,0)),"")</f>
        <v>1</v>
      </c>
      <c r="AD7" s="153"/>
    </row>
    <row r="8" spans="1:30" x14ac:dyDescent="0.25">
      <c r="B8" s="54">
        <v>2</v>
      </c>
      <c r="C8" s="168"/>
      <c r="D8" s="51"/>
      <c r="E8" s="29"/>
      <c r="F8" s="48"/>
      <c r="G8" s="29"/>
      <c r="H8" s="187"/>
      <c r="I8" s="187"/>
      <c r="J8" s="195"/>
      <c r="K8" s="86" t="str">
        <f t="shared" si="0"/>
        <v/>
      </c>
      <c r="L8" s="57" t="str">
        <f>IF(OR(ISBLANK(J8),ISBLANK(H8),ISBLANK(I8)),"",ABS(J8-H8)/ABS(H8-I8))</f>
        <v/>
      </c>
      <c r="M8" s="186"/>
      <c r="N8" s="189"/>
      <c r="O8" s="190"/>
      <c r="P8" s="187"/>
      <c r="Q8" s="191"/>
      <c r="R8" s="189"/>
      <c r="S8" s="53" t="str">
        <f t="shared" si="1"/>
        <v/>
      </c>
      <c r="T8" s="63" t="str">
        <f t="shared" si="2"/>
        <v/>
      </c>
      <c r="U8" s="64" t="str">
        <f>IF(OR(ISBLANK(Trades!R8), ISBLANK(Trades!H8), ISBLANK(Trades!I8)), "", IF(Trades!H8=Trades!I8, "N/A", (Trades!R8-Trades!H8)/(Trades!H8-Trades!I8)))</f>
        <v/>
      </c>
      <c r="V8" s="65" t="str">
        <f t="shared" si="3"/>
        <v/>
      </c>
      <c r="W8" s="66" t="str">
        <f t="shared" si="4"/>
        <v/>
      </c>
      <c r="X8" s="62" t="str">
        <f t="shared" si="5"/>
        <v/>
      </c>
      <c r="Y8" s="181"/>
      <c r="Z8" s="182"/>
      <c r="AA8" s="183"/>
      <c r="AB8" s="39"/>
      <c r="AC8" s="37" t="str">
        <f t="shared" si="6"/>
        <v/>
      </c>
    </row>
    <row r="9" spans="1:30" x14ac:dyDescent="0.25">
      <c r="B9" s="54">
        <v>3</v>
      </c>
      <c r="C9" s="168"/>
      <c r="D9" s="51"/>
      <c r="E9" s="29"/>
      <c r="F9" s="48"/>
      <c r="G9" s="29"/>
      <c r="H9" s="187"/>
      <c r="I9" s="187"/>
      <c r="J9" s="195"/>
      <c r="K9" s="86" t="str">
        <f t="shared" si="0"/>
        <v/>
      </c>
      <c r="L9" s="57" t="str">
        <f>IF(OR(ISBLANK(J9),ISBLANK(H9),ISBLANK(I9)),"",ABS(J9-H9)/ABS(H9-I9))</f>
        <v/>
      </c>
      <c r="M9" s="186"/>
      <c r="N9" s="189"/>
      <c r="O9" s="190"/>
      <c r="P9" s="187"/>
      <c r="Q9" s="191"/>
      <c r="R9" s="189"/>
      <c r="S9" s="53" t="str">
        <f t="shared" si="1"/>
        <v/>
      </c>
      <c r="T9" s="63" t="str">
        <f t="shared" si="2"/>
        <v/>
      </c>
      <c r="U9" s="64" t="str">
        <f>IF(OR(ISBLANK(Trades!R9), ISBLANK(Trades!H9), ISBLANK(Trades!I9)), "", IF(Trades!H9=Trades!I9, "N/A", (Trades!R9-Trades!H9)/(Trades!H9-Trades!I9)))</f>
        <v/>
      </c>
      <c r="V9" s="65" t="str">
        <f t="shared" si="3"/>
        <v/>
      </c>
      <c r="W9" s="66" t="str">
        <f t="shared" si="4"/>
        <v/>
      </c>
      <c r="X9" s="62" t="str">
        <f t="shared" si="5"/>
        <v/>
      </c>
      <c r="Y9" s="181"/>
      <c r="Z9" s="182"/>
      <c r="AA9" s="41"/>
      <c r="AB9" s="39"/>
      <c r="AC9" s="37" t="str">
        <f t="shared" si="6"/>
        <v/>
      </c>
      <c r="AD9" s="153"/>
    </row>
    <row r="10" spans="1:30" x14ac:dyDescent="0.25">
      <c r="B10" s="54">
        <v>4</v>
      </c>
      <c r="C10" s="168"/>
      <c r="D10" s="51"/>
      <c r="E10" s="29"/>
      <c r="F10" s="48"/>
      <c r="G10" s="29"/>
      <c r="H10" s="187"/>
      <c r="I10" s="187"/>
      <c r="J10" s="195"/>
      <c r="K10" s="86" t="str">
        <f t="shared" si="0"/>
        <v/>
      </c>
      <c r="L10" s="57" t="str">
        <f>IF(OR(ISBLANK(J11),ISBLANK(H10),ISBLANK(I10)),"",ABS(J11-H10)/ABS(H10-I10))</f>
        <v/>
      </c>
      <c r="M10" s="186"/>
      <c r="N10" s="189"/>
      <c r="O10" s="190"/>
      <c r="P10" s="187"/>
      <c r="Q10" s="191"/>
      <c r="R10" s="189"/>
      <c r="S10" s="53" t="str">
        <f t="shared" si="1"/>
        <v/>
      </c>
      <c r="T10" s="63" t="str">
        <f t="shared" si="2"/>
        <v/>
      </c>
      <c r="U10" s="64" t="str">
        <f>IF(OR(ISBLANK(Trades!R10), ISBLANK(Trades!H10), ISBLANK(Trades!I10)), "", IF(Trades!H10=Trades!I10, "N/A", (Trades!R10-Trades!H10)/(Trades!H10-Trades!I10)))</f>
        <v/>
      </c>
      <c r="V10" s="65" t="str">
        <f t="shared" si="3"/>
        <v/>
      </c>
      <c r="W10" s="66" t="str">
        <f t="shared" si="4"/>
        <v/>
      </c>
      <c r="X10" s="62" t="str">
        <f t="shared" si="5"/>
        <v/>
      </c>
      <c r="Y10" s="181"/>
      <c r="Z10" s="182"/>
      <c r="AA10" s="41"/>
      <c r="AB10" s="39"/>
      <c r="AC10" s="37" t="str">
        <f t="shared" si="6"/>
        <v/>
      </c>
    </row>
    <row r="11" spans="1:30" x14ac:dyDescent="0.25">
      <c r="B11" s="54">
        <v>5</v>
      </c>
      <c r="C11" s="168"/>
      <c r="D11" s="51"/>
      <c r="E11" s="29"/>
      <c r="F11" s="48"/>
      <c r="G11" s="29"/>
      <c r="H11" s="187"/>
      <c r="I11" s="187"/>
      <c r="J11" s="195"/>
      <c r="K11" s="86" t="str">
        <f t="shared" si="0"/>
        <v/>
      </c>
      <c r="L11" s="57" t="str">
        <f>IF(OR(ISBLANK(J12),ISBLANK(H11),ISBLANK(I11)),"",ABS(J12-H11)/ABS(H11-I11))</f>
        <v/>
      </c>
      <c r="M11" s="186"/>
      <c r="N11" s="189"/>
      <c r="O11" s="190"/>
      <c r="P11" s="187"/>
      <c r="Q11" s="191"/>
      <c r="R11" s="189"/>
      <c r="S11" s="53" t="str">
        <f t="shared" si="1"/>
        <v/>
      </c>
      <c r="T11" s="63" t="str">
        <f t="shared" si="2"/>
        <v/>
      </c>
      <c r="U11" s="64" t="str">
        <f>IF(OR(ISBLANK(Trades!R11), ISBLANK(Trades!H11), ISBLANK(Trades!I11)), "", IF(Trades!H11=Trades!I11, "N/A", (Trades!R11-Trades!H11)/(Trades!H11-Trades!I11)))</f>
        <v/>
      </c>
      <c r="V11" s="65" t="str">
        <f t="shared" si="3"/>
        <v/>
      </c>
      <c r="W11" s="66" t="str">
        <f t="shared" si="4"/>
        <v/>
      </c>
      <c r="X11" s="62" t="str">
        <f t="shared" si="5"/>
        <v/>
      </c>
      <c r="Y11" s="45"/>
      <c r="Z11" s="182"/>
      <c r="AA11" s="41"/>
      <c r="AB11" s="39"/>
      <c r="AC11" s="37" t="str">
        <f t="shared" si="6"/>
        <v/>
      </c>
      <c r="AD11" s="153"/>
    </row>
    <row r="12" spans="1:30" x14ac:dyDescent="0.25">
      <c r="B12" s="54">
        <v>6</v>
      </c>
      <c r="C12" s="168"/>
      <c r="D12" s="51"/>
      <c r="E12" s="29"/>
      <c r="F12" s="48"/>
      <c r="G12" s="29"/>
      <c r="H12" s="187"/>
      <c r="I12" s="187"/>
      <c r="J12" s="195"/>
      <c r="K12" s="86" t="str">
        <f t="shared" si="0"/>
        <v/>
      </c>
      <c r="L12" s="57" t="str">
        <f t="shared" ref="L12:L75" si="7">IF(OR(ISBLANK(J12),ISBLANK(H12),ISBLANK(I12)),"",ABS(J12-H12)/ABS(H12-I12))</f>
        <v/>
      </c>
      <c r="M12" s="186"/>
      <c r="N12" s="189"/>
      <c r="O12" s="190"/>
      <c r="P12" s="187"/>
      <c r="Q12" s="191"/>
      <c r="R12" s="189"/>
      <c r="S12" s="53" t="str">
        <f t="shared" si="1"/>
        <v/>
      </c>
      <c r="T12" s="63" t="str">
        <f t="shared" si="2"/>
        <v/>
      </c>
      <c r="U12" s="64" t="str">
        <f>IF(OR(ISBLANK(Trades!R12), ISBLANK(Trades!H12), ISBLANK(Trades!I12)), "", IF(Trades!H12=Trades!I12, "N/A", (Trades!R12-Trades!H12)/(Trades!H12-Trades!I12)))</f>
        <v/>
      </c>
      <c r="V12" s="65" t="str">
        <f t="shared" si="3"/>
        <v/>
      </c>
      <c r="W12" s="66" t="str">
        <f t="shared" si="4"/>
        <v/>
      </c>
      <c r="X12" s="62" t="str">
        <f t="shared" si="5"/>
        <v/>
      </c>
      <c r="Y12" s="43"/>
      <c r="Z12" s="44"/>
      <c r="AA12" s="41"/>
      <c r="AB12" s="39"/>
      <c r="AC12" s="37" t="str">
        <f t="shared" si="6"/>
        <v/>
      </c>
    </row>
    <row r="13" spans="1:30" x14ac:dyDescent="0.25">
      <c r="B13" s="54">
        <v>7</v>
      </c>
      <c r="C13" s="168"/>
      <c r="D13" s="51"/>
      <c r="E13" s="29"/>
      <c r="F13" s="48"/>
      <c r="G13" s="29"/>
      <c r="H13" s="187"/>
      <c r="I13" s="187"/>
      <c r="J13" s="195"/>
      <c r="K13" s="86" t="str">
        <f t="shared" si="0"/>
        <v/>
      </c>
      <c r="L13" s="57" t="str">
        <f t="shared" si="7"/>
        <v/>
      </c>
      <c r="M13" s="186"/>
      <c r="N13" s="189"/>
      <c r="O13" s="190"/>
      <c r="P13" s="187"/>
      <c r="Q13" s="191"/>
      <c r="R13" s="189"/>
      <c r="S13" s="53" t="str">
        <f t="shared" si="1"/>
        <v/>
      </c>
      <c r="T13" s="63" t="str">
        <f t="shared" si="2"/>
        <v/>
      </c>
      <c r="U13" s="64" t="str">
        <f>IF(OR(ISBLANK(Trades!R13), ISBLANK(Trades!H13), ISBLANK(Trades!I13)), "", IF(Trades!H13=Trades!I13, "N/A", (Trades!R13-Trades!H13)/(Trades!H13-Trades!I13)))</f>
        <v/>
      </c>
      <c r="V13" s="65" t="str">
        <f t="shared" si="3"/>
        <v/>
      </c>
      <c r="W13" s="66" t="str">
        <f t="shared" si="4"/>
        <v/>
      </c>
      <c r="X13" s="62" t="str">
        <f t="shared" si="5"/>
        <v/>
      </c>
      <c r="Y13" s="45"/>
      <c r="Z13" s="44"/>
      <c r="AA13" s="41"/>
      <c r="AB13" s="39"/>
      <c r="AC13" s="37" t="str">
        <f t="shared" si="6"/>
        <v/>
      </c>
    </row>
    <row r="14" spans="1:30" x14ac:dyDescent="0.25">
      <c r="B14" s="54">
        <v>8</v>
      </c>
      <c r="C14" s="168"/>
      <c r="D14" s="51"/>
      <c r="E14" s="29"/>
      <c r="F14" s="48"/>
      <c r="G14" s="29"/>
      <c r="H14" s="187"/>
      <c r="I14" s="187"/>
      <c r="J14" s="195"/>
      <c r="K14" s="86" t="str">
        <f t="shared" si="0"/>
        <v/>
      </c>
      <c r="L14" s="57" t="str">
        <f t="shared" si="7"/>
        <v/>
      </c>
      <c r="M14" s="186"/>
      <c r="N14" s="189"/>
      <c r="O14" s="190"/>
      <c r="P14" s="187"/>
      <c r="Q14" s="191"/>
      <c r="R14" s="188"/>
      <c r="S14" s="53" t="str">
        <f t="shared" si="1"/>
        <v/>
      </c>
      <c r="T14" s="63" t="str">
        <f t="shared" si="2"/>
        <v/>
      </c>
      <c r="U14" s="64" t="str">
        <f>IF(OR(ISBLANK(Trades!R14), ISBLANK(Trades!H14), ISBLANK(Trades!I14)), "", IF(Trades!H14=Trades!I14, "N/A", (Trades!R14-Trades!H14)/(Trades!H14-Trades!I14)))</f>
        <v/>
      </c>
      <c r="V14" s="65" t="str">
        <f t="shared" si="3"/>
        <v/>
      </c>
      <c r="W14" s="66" t="str">
        <f t="shared" si="4"/>
        <v/>
      </c>
      <c r="X14" s="62" t="str">
        <f t="shared" si="5"/>
        <v/>
      </c>
      <c r="Y14" s="181"/>
      <c r="Z14" s="44"/>
      <c r="AA14" s="41"/>
      <c r="AB14" s="39"/>
      <c r="AC14" s="37" t="str">
        <f t="shared" si="6"/>
        <v/>
      </c>
    </row>
    <row r="15" spans="1:30" x14ac:dyDescent="0.25">
      <c r="B15" s="54">
        <v>9</v>
      </c>
      <c r="C15" s="168"/>
      <c r="D15" s="51"/>
      <c r="E15" s="29"/>
      <c r="F15" s="48"/>
      <c r="G15" s="29"/>
      <c r="H15" s="187"/>
      <c r="I15" s="187"/>
      <c r="J15" s="195"/>
      <c r="K15" s="86" t="str">
        <f t="shared" si="0"/>
        <v/>
      </c>
      <c r="L15" s="57" t="str">
        <f t="shared" si="7"/>
        <v/>
      </c>
      <c r="M15" s="186"/>
      <c r="N15" s="189"/>
      <c r="O15" s="190"/>
      <c r="P15" s="187"/>
      <c r="Q15" s="191"/>
      <c r="R15" s="189"/>
      <c r="S15" s="53" t="str">
        <f t="shared" si="1"/>
        <v/>
      </c>
      <c r="T15" s="63" t="str">
        <f t="shared" si="2"/>
        <v/>
      </c>
      <c r="U15" s="64" t="str">
        <f>IF(OR(ISBLANK(Trades!R15), ISBLANK(Trades!H15), ISBLANK(Trades!I15)), "", IF(Trades!H15=Trades!I15, "N/A", (Trades!R15-Trades!H15)/(Trades!H15-Trades!I15)))</f>
        <v/>
      </c>
      <c r="V15" s="65" t="str">
        <f t="shared" si="3"/>
        <v/>
      </c>
      <c r="W15" s="66" t="str">
        <f t="shared" si="4"/>
        <v/>
      </c>
      <c r="X15" s="62" t="str">
        <f t="shared" si="5"/>
        <v/>
      </c>
      <c r="Y15" s="45"/>
      <c r="Z15" s="44"/>
      <c r="AA15" s="41"/>
      <c r="AB15" s="39"/>
      <c r="AC15" s="37" t="str">
        <f t="shared" si="6"/>
        <v/>
      </c>
    </row>
    <row r="16" spans="1:30" x14ac:dyDescent="0.25">
      <c r="B16" s="54">
        <v>10</v>
      </c>
      <c r="C16" s="168"/>
      <c r="D16" s="51"/>
      <c r="E16" s="29"/>
      <c r="F16" s="48"/>
      <c r="G16" s="29"/>
      <c r="H16" s="187"/>
      <c r="I16" s="187"/>
      <c r="J16" s="195"/>
      <c r="K16" s="86" t="str">
        <f t="shared" si="0"/>
        <v/>
      </c>
      <c r="L16" s="57" t="str">
        <f t="shared" si="7"/>
        <v/>
      </c>
      <c r="M16" s="186"/>
      <c r="N16" s="189"/>
      <c r="O16" s="190"/>
      <c r="P16" s="187"/>
      <c r="Q16" s="191"/>
      <c r="R16" s="189"/>
      <c r="S16" s="53" t="str">
        <f t="shared" si="1"/>
        <v/>
      </c>
      <c r="T16" s="63" t="str">
        <f t="shared" si="2"/>
        <v/>
      </c>
      <c r="U16" s="64" t="str">
        <f>IF(OR(ISBLANK(Trades!R16), ISBLANK(Trades!H16), ISBLANK(Trades!I16)), "", IF(Trades!H16=Trades!I16, "N/A", (Trades!R16-Trades!H16)/(Trades!H16-Trades!I16)))</f>
        <v/>
      </c>
      <c r="V16" s="65" t="str">
        <f t="shared" si="3"/>
        <v/>
      </c>
      <c r="W16" s="66" t="str">
        <f t="shared" si="4"/>
        <v/>
      </c>
      <c r="X16" s="62" t="str">
        <f t="shared" si="5"/>
        <v/>
      </c>
      <c r="Y16" s="45"/>
      <c r="Z16" s="44"/>
      <c r="AA16" s="41"/>
      <c r="AB16" s="39"/>
      <c r="AC16" s="37" t="str">
        <f t="shared" si="6"/>
        <v/>
      </c>
    </row>
    <row r="17" spans="2:32" x14ac:dyDescent="0.25">
      <c r="B17" s="54">
        <v>11</v>
      </c>
      <c r="C17" s="168"/>
      <c r="D17" s="51"/>
      <c r="E17" s="29"/>
      <c r="F17" s="48"/>
      <c r="G17" s="29"/>
      <c r="H17" s="187"/>
      <c r="I17" s="187"/>
      <c r="J17" s="195"/>
      <c r="K17" s="86" t="str">
        <f t="shared" si="0"/>
        <v/>
      </c>
      <c r="L17" s="57" t="str">
        <f t="shared" si="7"/>
        <v/>
      </c>
      <c r="M17" s="186"/>
      <c r="N17" s="189"/>
      <c r="O17" s="190"/>
      <c r="P17" s="187"/>
      <c r="Q17" s="191"/>
      <c r="R17" s="189"/>
      <c r="S17" s="53" t="str">
        <f t="shared" si="1"/>
        <v/>
      </c>
      <c r="T17" s="63" t="str">
        <f t="shared" si="2"/>
        <v/>
      </c>
      <c r="U17" s="64" t="str">
        <f>IF(OR(ISBLANK(Trades!R17), ISBLANK(Trades!H17), ISBLANK(Trades!I17)), "", IF(Trades!H17=Trades!I17, "N/A", (Trades!R17-Trades!H17)/(Trades!H17-Trades!I17)))</f>
        <v/>
      </c>
      <c r="V17" s="65" t="str">
        <f t="shared" si="3"/>
        <v/>
      </c>
      <c r="W17" s="66" t="str">
        <f t="shared" si="4"/>
        <v/>
      </c>
      <c r="X17" s="62" t="str">
        <f t="shared" si="5"/>
        <v/>
      </c>
      <c r="Y17" s="45"/>
      <c r="Z17" s="44"/>
      <c r="AA17" s="41"/>
      <c r="AB17" s="39"/>
      <c r="AC17" s="37" t="str">
        <f t="shared" si="6"/>
        <v/>
      </c>
    </row>
    <row r="18" spans="2:32" x14ac:dyDescent="0.25">
      <c r="B18" s="54">
        <v>12</v>
      </c>
      <c r="C18" s="168"/>
      <c r="D18" s="51"/>
      <c r="E18" s="29"/>
      <c r="F18" s="48"/>
      <c r="G18" s="29"/>
      <c r="H18" s="187"/>
      <c r="I18" s="187"/>
      <c r="J18" s="195"/>
      <c r="K18" s="86" t="str">
        <f t="shared" si="0"/>
        <v/>
      </c>
      <c r="L18" s="57" t="str">
        <f t="shared" si="7"/>
        <v/>
      </c>
      <c r="M18" s="186"/>
      <c r="N18" s="189"/>
      <c r="O18" s="190"/>
      <c r="P18" s="187"/>
      <c r="Q18" s="191"/>
      <c r="R18" s="189"/>
      <c r="S18" s="53" t="str">
        <f t="shared" si="1"/>
        <v/>
      </c>
      <c r="T18" s="63" t="str">
        <f t="shared" si="2"/>
        <v/>
      </c>
      <c r="U18" s="64" t="str">
        <f>IF(OR(ISBLANK(Trades!R18), ISBLANK(Trades!H18), ISBLANK(Trades!I18)), "", IF(Trades!H18=Trades!I18, "N/A", (Trades!R18-Trades!H18)/(Trades!H18-Trades!I18)))</f>
        <v/>
      </c>
      <c r="V18" s="65" t="str">
        <f t="shared" si="3"/>
        <v/>
      </c>
      <c r="W18" s="66" t="str">
        <f t="shared" si="4"/>
        <v/>
      </c>
      <c r="X18" s="62" t="str">
        <f t="shared" si="5"/>
        <v/>
      </c>
      <c r="Y18" s="45"/>
      <c r="Z18" s="44"/>
      <c r="AA18" s="41"/>
      <c r="AB18" s="39"/>
      <c r="AC18" s="37" t="str">
        <f t="shared" si="6"/>
        <v/>
      </c>
    </row>
    <row r="19" spans="2:32" x14ac:dyDescent="0.25">
      <c r="B19" s="54">
        <v>13</v>
      </c>
      <c r="C19" s="168"/>
      <c r="D19" s="51"/>
      <c r="E19" s="29"/>
      <c r="F19" s="48"/>
      <c r="G19" s="29"/>
      <c r="H19" s="187"/>
      <c r="I19" s="187"/>
      <c r="J19" s="195"/>
      <c r="K19" s="86" t="str">
        <f t="shared" si="0"/>
        <v/>
      </c>
      <c r="L19" s="57" t="str">
        <f t="shared" si="7"/>
        <v/>
      </c>
      <c r="M19" s="186"/>
      <c r="N19" s="189"/>
      <c r="O19" s="190"/>
      <c r="P19" s="187"/>
      <c r="Q19" s="191"/>
      <c r="R19" s="189"/>
      <c r="S19" s="53" t="str">
        <f t="shared" si="1"/>
        <v/>
      </c>
      <c r="T19" s="63" t="str">
        <f t="shared" si="2"/>
        <v/>
      </c>
      <c r="U19" s="64" t="str">
        <f>IF(OR(ISBLANK(Trades!R19), ISBLANK(Trades!H19), ISBLANK(Trades!I19)), "", IF(Trades!H19=Trades!I19, "N/A", (Trades!R19-Trades!H19)/(Trades!H19-Trades!I19)))</f>
        <v/>
      </c>
      <c r="V19" s="65" t="str">
        <f t="shared" si="3"/>
        <v/>
      </c>
      <c r="W19" s="66" t="str">
        <f t="shared" si="4"/>
        <v/>
      </c>
      <c r="X19" s="62" t="str">
        <f t="shared" si="5"/>
        <v/>
      </c>
      <c r="Y19" s="45"/>
      <c r="Z19" s="44"/>
      <c r="AA19" s="41"/>
      <c r="AB19" s="39"/>
      <c r="AC19" s="37" t="str">
        <f t="shared" si="6"/>
        <v/>
      </c>
      <c r="AF19" s="153"/>
    </row>
    <row r="20" spans="2:32" x14ac:dyDescent="0.25">
      <c r="B20" s="54">
        <v>14</v>
      </c>
      <c r="C20" s="168"/>
      <c r="D20" s="51"/>
      <c r="E20" s="29"/>
      <c r="F20" s="48"/>
      <c r="G20" s="29"/>
      <c r="H20" s="187"/>
      <c r="I20" s="187"/>
      <c r="J20" s="195"/>
      <c r="K20" s="86" t="str">
        <f t="shared" si="0"/>
        <v/>
      </c>
      <c r="L20" s="57" t="str">
        <f t="shared" si="7"/>
        <v/>
      </c>
      <c r="M20" s="186"/>
      <c r="N20" s="189"/>
      <c r="O20" s="190"/>
      <c r="P20" s="187"/>
      <c r="Q20" s="191"/>
      <c r="R20" s="189"/>
      <c r="S20" s="53" t="str">
        <f t="shared" si="1"/>
        <v/>
      </c>
      <c r="T20" s="63" t="str">
        <f t="shared" si="2"/>
        <v/>
      </c>
      <c r="U20" s="64" t="str">
        <f>IF(OR(ISBLANK(Trades!R20), ISBLANK(Trades!H20), ISBLANK(Trades!I20)), "", IF(Trades!H20=Trades!I20, "N/A", (Trades!R20-Trades!H20)/(Trades!H20-Trades!I20)))</f>
        <v/>
      </c>
      <c r="V20" s="65" t="str">
        <f t="shared" si="3"/>
        <v/>
      </c>
      <c r="W20" s="66" t="str">
        <f t="shared" si="4"/>
        <v/>
      </c>
      <c r="X20" s="62" t="str">
        <f t="shared" si="5"/>
        <v/>
      </c>
      <c r="Y20" s="45"/>
      <c r="Z20" s="44"/>
      <c r="AA20" s="41"/>
      <c r="AB20" s="39"/>
      <c r="AC20" s="37" t="str">
        <f t="shared" si="6"/>
        <v/>
      </c>
      <c r="AF20" s="153"/>
    </row>
    <row r="21" spans="2:32" x14ac:dyDescent="0.25">
      <c r="B21" s="54">
        <v>15</v>
      </c>
      <c r="C21" s="168"/>
      <c r="D21" s="51"/>
      <c r="E21" s="29"/>
      <c r="F21" s="48"/>
      <c r="G21" s="29"/>
      <c r="H21" s="187"/>
      <c r="I21" s="187"/>
      <c r="J21" s="195"/>
      <c r="K21" s="86" t="str">
        <f t="shared" si="0"/>
        <v/>
      </c>
      <c r="L21" s="57" t="str">
        <f t="shared" si="7"/>
        <v/>
      </c>
      <c r="M21" s="186"/>
      <c r="N21" s="189"/>
      <c r="O21" s="190"/>
      <c r="P21" s="187"/>
      <c r="Q21" s="191"/>
      <c r="R21" s="188"/>
      <c r="S21" s="53" t="str">
        <f t="shared" si="1"/>
        <v/>
      </c>
      <c r="T21" s="63" t="str">
        <f t="shared" si="2"/>
        <v/>
      </c>
      <c r="U21" s="64" t="str">
        <f>IF(OR(ISBLANK(Trades!R21), ISBLANK(Trades!H21), ISBLANK(Trades!I21)), "", IF(Trades!H21=Trades!I21, "N/A", (Trades!R21-Trades!H21)/(Trades!H21-Trades!I21)))</f>
        <v/>
      </c>
      <c r="V21" s="65" t="str">
        <f t="shared" si="3"/>
        <v/>
      </c>
      <c r="W21" s="66" t="str">
        <f t="shared" si="4"/>
        <v/>
      </c>
      <c r="X21" s="62" t="str">
        <f t="shared" si="5"/>
        <v/>
      </c>
      <c r="Y21" s="45"/>
      <c r="Z21" s="44"/>
      <c r="AA21" s="41"/>
      <c r="AB21" s="39"/>
      <c r="AC21" s="37" t="str">
        <f t="shared" si="6"/>
        <v/>
      </c>
    </row>
    <row r="22" spans="2:32" x14ac:dyDescent="0.25">
      <c r="B22" s="54">
        <v>16</v>
      </c>
      <c r="C22" s="168"/>
      <c r="D22" s="51"/>
      <c r="E22" s="29"/>
      <c r="F22" s="48"/>
      <c r="G22" s="29"/>
      <c r="H22" s="187"/>
      <c r="I22" s="187"/>
      <c r="J22" s="195"/>
      <c r="K22" s="86" t="str">
        <f t="shared" si="0"/>
        <v/>
      </c>
      <c r="L22" s="57" t="str">
        <f t="shared" si="7"/>
        <v/>
      </c>
      <c r="M22" s="186"/>
      <c r="N22" s="189"/>
      <c r="O22" s="190"/>
      <c r="P22" s="187"/>
      <c r="Q22" s="191"/>
      <c r="R22" s="189"/>
      <c r="S22" s="53" t="str">
        <f t="shared" si="1"/>
        <v/>
      </c>
      <c r="T22" s="63" t="str">
        <f t="shared" si="2"/>
        <v/>
      </c>
      <c r="U22" s="64" t="str">
        <f>IF(OR(ISBLANK(Trades!R22), ISBLANK(Trades!H22), ISBLANK(Trades!I22)), "", IF(Trades!H22=Trades!I22, "N/A", (Trades!R22-Trades!H22)/(Trades!H22-Trades!I22)))</f>
        <v/>
      </c>
      <c r="V22" s="65" t="str">
        <f t="shared" si="3"/>
        <v/>
      </c>
      <c r="W22" s="66" t="str">
        <f t="shared" si="4"/>
        <v/>
      </c>
      <c r="X22" s="62" t="str">
        <f t="shared" si="5"/>
        <v/>
      </c>
      <c r="Y22" s="45"/>
      <c r="Z22" s="44"/>
      <c r="AA22" s="41"/>
      <c r="AB22" s="39"/>
      <c r="AC22" s="37" t="str">
        <f t="shared" si="6"/>
        <v/>
      </c>
    </row>
    <row r="23" spans="2:32" x14ac:dyDescent="0.25">
      <c r="B23" s="54">
        <v>17</v>
      </c>
      <c r="C23" s="168"/>
      <c r="D23" s="51"/>
      <c r="E23" s="29"/>
      <c r="F23" s="48"/>
      <c r="G23" s="29"/>
      <c r="H23" s="187"/>
      <c r="I23" s="187"/>
      <c r="J23" s="195"/>
      <c r="K23" s="86" t="str">
        <f t="shared" si="0"/>
        <v/>
      </c>
      <c r="L23" s="57" t="str">
        <f t="shared" si="7"/>
        <v/>
      </c>
      <c r="M23" s="186"/>
      <c r="N23" s="189"/>
      <c r="O23" s="190"/>
      <c r="P23" s="187"/>
      <c r="Q23" s="191"/>
      <c r="R23" s="189"/>
      <c r="S23" s="53" t="str">
        <f t="shared" si="1"/>
        <v/>
      </c>
      <c r="T23" s="63" t="str">
        <f t="shared" si="2"/>
        <v/>
      </c>
      <c r="U23" s="64" t="str">
        <f>IF(OR(ISBLANK(Trades!R23), ISBLANK(Trades!H23), ISBLANK(Trades!I23)), "", IF(Trades!H23=Trades!I23, "N/A", (Trades!R23-Trades!H23)/(Trades!H23-Trades!I23)))</f>
        <v/>
      </c>
      <c r="V23" s="65" t="str">
        <f t="shared" si="3"/>
        <v/>
      </c>
      <c r="W23" s="66" t="str">
        <f t="shared" si="4"/>
        <v/>
      </c>
      <c r="X23" s="62" t="str">
        <f t="shared" si="5"/>
        <v/>
      </c>
      <c r="Y23" s="45"/>
      <c r="Z23" s="44"/>
      <c r="AA23" s="41"/>
      <c r="AB23" s="39"/>
      <c r="AC23" s="37" t="str">
        <f t="shared" si="6"/>
        <v/>
      </c>
    </row>
    <row r="24" spans="2:32" x14ac:dyDescent="0.25">
      <c r="B24" s="54">
        <v>18</v>
      </c>
      <c r="C24" s="168"/>
      <c r="D24" s="51"/>
      <c r="E24" s="29"/>
      <c r="F24" s="48"/>
      <c r="G24" s="29"/>
      <c r="H24" s="187"/>
      <c r="I24" s="187"/>
      <c r="J24" s="195"/>
      <c r="K24" s="86" t="str">
        <f t="shared" si="0"/>
        <v/>
      </c>
      <c r="L24" s="57" t="str">
        <f t="shared" si="7"/>
        <v/>
      </c>
      <c r="M24" s="186"/>
      <c r="N24" s="189"/>
      <c r="O24" s="190"/>
      <c r="P24" s="187"/>
      <c r="Q24" s="191"/>
      <c r="R24" s="189"/>
      <c r="S24" s="53" t="str">
        <f t="shared" si="1"/>
        <v/>
      </c>
      <c r="T24" s="63" t="str">
        <f t="shared" si="2"/>
        <v/>
      </c>
      <c r="U24" s="64" t="str">
        <f>IF(OR(ISBLANK(Trades!R24), ISBLANK(Trades!H24), ISBLANK(Trades!I24)), "", IF(Trades!H24=Trades!I24, "N/A", (Trades!R24-Trades!H24)/(Trades!H24-Trades!I24)))</f>
        <v/>
      </c>
      <c r="V24" s="65" t="str">
        <f t="shared" si="3"/>
        <v/>
      </c>
      <c r="W24" s="66" t="str">
        <f t="shared" si="4"/>
        <v/>
      </c>
      <c r="X24" s="62" t="str">
        <f t="shared" si="5"/>
        <v/>
      </c>
      <c r="Y24" s="45"/>
      <c r="Z24" s="44"/>
      <c r="AA24" s="41"/>
      <c r="AB24" s="39"/>
      <c r="AC24" s="37" t="str">
        <f t="shared" si="6"/>
        <v/>
      </c>
    </row>
    <row r="25" spans="2:32" ht="16.5" customHeight="1" x14ac:dyDescent="0.25">
      <c r="B25" s="54">
        <v>19</v>
      </c>
      <c r="C25" s="168"/>
      <c r="D25" s="51"/>
      <c r="E25" s="29"/>
      <c r="F25" s="48"/>
      <c r="G25" s="29"/>
      <c r="H25" s="187"/>
      <c r="I25" s="187"/>
      <c r="J25" s="195"/>
      <c r="K25" s="86" t="str">
        <f t="shared" si="0"/>
        <v/>
      </c>
      <c r="L25" s="57" t="str">
        <f t="shared" si="7"/>
        <v/>
      </c>
      <c r="M25" s="186"/>
      <c r="N25" s="189"/>
      <c r="O25" s="190"/>
      <c r="P25" s="187"/>
      <c r="Q25" s="191"/>
      <c r="R25" s="189"/>
      <c r="S25" s="53" t="str">
        <f t="shared" si="1"/>
        <v/>
      </c>
      <c r="T25" s="63" t="str">
        <f t="shared" si="2"/>
        <v/>
      </c>
      <c r="U25" s="64" t="str">
        <f>IF(OR(ISBLANK(Trades!R25), ISBLANK(Trades!H25), ISBLANK(Trades!I25)), "", IF(Trades!H25=Trades!I25, "N/A", (Trades!R25-Trades!H25)/(Trades!H25-Trades!I25)))</f>
        <v/>
      </c>
      <c r="V25" s="65" t="str">
        <f t="shared" si="3"/>
        <v/>
      </c>
      <c r="W25" s="66" t="str">
        <f t="shared" si="4"/>
        <v/>
      </c>
      <c r="X25" s="62" t="str">
        <f t="shared" si="5"/>
        <v/>
      </c>
      <c r="Y25" s="45"/>
      <c r="Z25" s="44"/>
      <c r="AA25" s="41"/>
      <c r="AB25" s="39"/>
      <c r="AC25" s="37" t="str">
        <f t="shared" si="6"/>
        <v/>
      </c>
    </row>
    <row r="26" spans="2:32" x14ac:dyDescent="0.25">
      <c r="B26" s="54">
        <v>20</v>
      </c>
      <c r="C26" s="168"/>
      <c r="D26" s="51"/>
      <c r="E26" s="29"/>
      <c r="F26" s="48"/>
      <c r="G26" s="29"/>
      <c r="H26" s="187"/>
      <c r="I26" s="187"/>
      <c r="J26" s="195"/>
      <c r="K26" s="86" t="str">
        <f t="shared" si="0"/>
        <v/>
      </c>
      <c r="L26" s="57" t="str">
        <f t="shared" si="7"/>
        <v/>
      </c>
      <c r="M26" s="186"/>
      <c r="N26" s="189"/>
      <c r="O26" s="190"/>
      <c r="P26" s="187"/>
      <c r="Q26" s="191"/>
      <c r="R26" s="189"/>
      <c r="S26" s="53" t="str">
        <f t="shared" si="1"/>
        <v/>
      </c>
      <c r="T26" s="63" t="str">
        <f t="shared" si="2"/>
        <v/>
      </c>
      <c r="U26" s="64" t="str">
        <f>IF(OR(ISBLANK(Trades!R26), ISBLANK(Trades!H26), ISBLANK(Trades!I26)), "", IF(Trades!H26=Trades!I26, "N/A", (Trades!R26-Trades!H26)/(Trades!H26-Trades!I26)))</f>
        <v/>
      </c>
      <c r="V26" s="65" t="str">
        <f t="shared" si="3"/>
        <v/>
      </c>
      <c r="W26" s="66" t="str">
        <f t="shared" si="4"/>
        <v/>
      </c>
      <c r="X26" s="62" t="str">
        <f t="shared" si="5"/>
        <v/>
      </c>
      <c r="Y26" s="45"/>
      <c r="Z26" s="44"/>
      <c r="AA26" s="41"/>
      <c r="AB26" s="39"/>
      <c r="AC26" s="37" t="str">
        <f t="shared" si="6"/>
        <v/>
      </c>
    </row>
    <row r="27" spans="2:32" x14ac:dyDescent="0.25">
      <c r="B27" s="54">
        <v>21</v>
      </c>
      <c r="C27" s="168"/>
      <c r="D27" s="51"/>
      <c r="E27" s="29"/>
      <c r="F27" s="48"/>
      <c r="G27" s="29"/>
      <c r="H27" s="187"/>
      <c r="I27" s="187"/>
      <c r="J27" s="195"/>
      <c r="K27" s="86" t="str">
        <f t="shared" si="0"/>
        <v/>
      </c>
      <c r="L27" s="57" t="str">
        <f t="shared" si="7"/>
        <v/>
      </c>
      <c r="M27" s="186"/>
      <c r="N27" s="189"/>
      <c r="O27" s="190"/>
      <c r="P27" s="187"/>
      <c r="Q27" s="191"/>
      <c r="R27" s="189"/>
      <c r="S27" s="53" t="str">
        <f t="shared" si="1"/>
        <v/>
      </c>
      <c r="T27" s="63" t="str">
        <f t="shared" si="2"/>
        <v/>
      </c>
      <c r="U27" s="64" t="str">
        <f>IF(OR(ISBLANK(Trades!R27), ISBLANK(Trades!H27), ISBLANK(Trades!I27)), "", IF(Trades!H27=Trades!I27, "N/A", (Trades!R27-Trades!H27)/(Trades!H27-Trades!I27)))</f>
        <v/>
      </c>
      <c r="V27" s="65" t="str">
        <f t="shared" si="3"/>
        <v/>
      </c>
      <c r="W27" s="66" t="str">
        <f t="shared" si="4"/>
        <v/>
      </c>
      <c r="X27" s="62" t="str">
        <f t="shared" si="5"/>
        <v/>
      </c>
      <c r="Y27" s="45"/>
      <c r="Z27" s="44"/>
      <c r="AA27" s="41"/>
      <c r="AB27" s="39"/>
      <c r="AC27" s="37" t="str">
        <f t="shared" si="6"/>
        <v/>
      </c>
    </row>
    <row r="28" spans="2:32" x14ac:dyDescent="0.25">
      <c r="B28" s="54">
        <v>22</v>
      </c>
      <c r="C28" s="168"/>
      <c r="D28" s="51"/>
      <c r="E28" s="29"/>
      <c r="F28" s="48"/>
      <c r="G28" s="29"/>
      <c r="H28" s="187"/>
      <c r="I28" s="187"/>
      <c r="J28" s="195"/>
      <c r="K28" s="86" t="str">
        <f t="shared" si="0"/>
        <v/>
      </c>
      <c r="L28" s="57" t="str">
        <f t="shared" si="7"/>
        <v/>
      </c>
      <c r="M28" s="186"/>
      <c r="N28" s="189"/>
      <c r="O28" s="190"/>
      <c r="P28" s="187"/>
      <c r="Q28" s="191"/>
      <c r="R28" s="188"/>
      <c r="S28" s="53" t="str">
        <f t="shared" si="1"/>
        <v/>
      </c>
      <c r="T28" s="63" t="str">
        <f t="shared" si="2"/>
        <v/>
      </c>
      <c r="U28" s="64" t="str">
        <f>IF(OR(ISBLANK(Trades!R28), ISBLANK(Trades!H28), ISBLANK(Trades!I28)), "", IF(Trades!H28=Trades!I28, "N/A", (Trades!R28-Trades!H28)/(Trades!H28-Trades!I28)))</f>
        <v/>
      </c>
      <c r="V28" s="65" t="str">
        <f t="shared" si="3"/>
        <v/>
      </c>
      <c r="W28" s="66" t="str">
        <f t="shared" si="4"/>
        <v/>
      </c>
      <c r="X28" s="62" t="str">
        <f t="shared" si="5"/>
        <v/>
      </c>
      <c r="Y28" s="45"/>
      <c r="Z28" s="44"/>
      <c r="AA28" s="41"/>
      <c r="AB28" s="39"/>
      <c r="AC28" s="37" t="str">
        <f t="shared" si="6"/>
        <v/>
      </c>
    </row>
    <row r="29" spans="2:32" x14ac:dyDescent="0.25">
      <c r="B29" s="54">
        <v>23</v>
      </c>
      <c r="C29" s="168"/>
      <c r="D29" s="51"/>
      <c r="E29" s="29"/>
      <c r="F29" s="48"/>
      <c r="G29" s="29"/>
      <c r="H29" s="187"/>
      <c r="I29" s="187"/>
      <c r="J29" s="195"/>
      <c r="K29" s="86" t="str">
        <f t="shared" si="0"/>
        <v/>
      </c>
      <c r="L29" s="57" t="str">
        <f t="shared" si="7"/>
        <v/>
      </c>
      <c r="M29" s="186"/>
      <c r="N29" s="189"/>
      <c r="O29" s="190"/>
      <c r="P29" s="187"/>
      <c r="Q29" s="191"/>
      <c r="R29" s="189"/>
      <c r="S29" s="53" t="str">
        <f t="shared" si="1"/>
        <v/>
      </c>
      <c r="T29" s="63" t="str">
        <f t="shared" si="2"/>
        <v/>
      </c>
      <c r="U29" s="64" t="str">
        <f>IF(OR(ISBLANK(Trades!R29), ISBLANK(Trades!H29), ISBLANK(Trades!I29)), "", IF(Trades!H29=Trades!I29, "N/A", (Trades!R29-Trades!H29)/(Trades!H29-Trades!I29)))</f>
        <v/>
      </c>
      <c r="V29" s="65" t="str">
        <f t="shared" si="3"/>
        <v/>
      </c>
      <c r="W29" s="66" t="str">
        <f t="shared" si="4"/>
        <v/>
      </c>
      <c r="X29" s="62" t="str">
        <f t="shared" si="5"/>
        <v/>
      </c>
      <c r="Y29" s="45"/>
      <c r="Z29" s="44"/>
      <c r="AA29" s="41"/>
      <c r="AB29" s="39"/>
      <c r="AC29" s="37" t="str">
        <f t="shared" si="6"/>
        <v/>
      </c>
    </row>
    <row r="30" spans="2:32" x14ac:dyDescent="0.25">
      <c r="B30" s="54">
        <v>24</v>
      </c>
      <c r="C30" s="168"/>
      <c r="D30" s="51"/>
      <c r="E30" s="29"/>
      <c r="F30" s="48"/>
      <c r="G30" s="29"/>
      <c r="H30" s="187"/>
      <c r="I30" s="187"/>
      <c r="J30" s="195"/>
      <c r="K30" s="86" t="str">
        <f t="shared" si="0"/>
        <v/>
      </c>
      <c r="L30" s="57" t="str">
        <f t="shared" si="7"/>
        <v/>
      </c>
      <c r="M30" s="186"/>
      <c r="N30" s="189"/>
      <c r="O30" s="190"/>
      <c r="P30" s="187"/>
      <c r="Q30" s="191"/>
      <c r="R30" s="189"/>
      <c r="S30" s="53" t="str">
        <f t="shared" si="1"/>
        <v/>
      </c>
      <c r="T30" s="63" t="str">
        <f t="shared" si="2"/>
        <v/>
      </c>
      <c r="U30" s="64" t="str">
        <f>IF(OR(ISBLANK(Trades!R30), ISBLANK(Trades!H30), ISBLANK(Trades!I30)), "", IF(Trades!H30=Trades!I30, "N/A", (Trades!R30-Trades!H30)/(Trades!H30-Trades!I30)))</f>
        <v/>
      </c>
      <c r="V30" s="65" t="str">
        <f t="shared" si="3"/>
        <v/>
      </c>
      <c r="W30" s="66" t="str">
        <f t="shared" si="4"/>
        <v/>
      </c>
      <c r="X30" s="62" t="str">
        <f t="shared" si="5"/>
        <v/>
      </c>
      <c r="Y30" s="45"/>
      <c r="Z30" s="44"/>
      <c r="AA30" s="41"/>
      <c r="AB30" s="39"/>
      <c r="AC30" s="37" t="str">
        <f t="shared" si="6"/>
        <v/>
      </c>
    </row>
    <row r="31" spans="2:32" x14ac:dyDescent="0.25">
      <c r="B31" s="54">
        <v>25</v>
      </c>
      <c r="C31" s="168"/>
      <c r="D31" s="51"/>
      <c r="E31" s="29"/>
      <c r="F31" s="48"/>
      <c r="G31" s="29"/>
      <c r="H31" s="187"/>
      <c r="I31" s="187"/>
      <c r="J31" s="195"/>
      <c r="K31" s="86" t="str">
        <f t="shared" si="0"/>
        <v/>
      </c>
      <c r="L31" s="57" t="str">
        <f t="shared" si="7"/>
        <v/>
      </c>
      <c r="M31" s="186"/>
      <c r="N31" s="189"/>
      <c r="O31" s="190"/>
      <c r="P31" s="187"/>
      <c r="Q31" s="191"/>
      <c r="R31" s="189"/>
      <c r="S31" s="53" t="str">
        <f t="shared" si="1"/>
        <v/>
      </c>
      <c r="T31" s="63" t="str">
        <f t="shared" si="2"/>
        <v/>
      </c>
      <c r="U31" s="64" t="str">
        <f>IF(OR(ISBLANK(Trades!R31), ISBLANK(Trades!H31), ISBLANK(Trades!I31)), "", IF(Trades!H31=Trades!I31, "N/A", (Trades!R31-Trades!H31)/(Trades!H31-Trades!I31)))</f>
        <v/>
      </c>
      <c r="V31" s="65" t="str">
        <f t="shared" si="3"/>
        <v/>
      </c>
      <c r="W31" s="66" t="str">
        <f t="shared" si="4"/>
        <v/>
      </c>
      <c r="X31" s="62" t="str">
        <f t="shared" si="5"/>
        <v/>
      </c>
      <c r="Y31" s="45"/>
      <c r="Z31" s="44"/>
      <c r="AA31" s="41"/>
      <c r="AB31" s="39"/>
      <c r="AC31" s="37" t="str">
        <f t="shared" si="6"/>
        <v/>
      </c>
    </row>
    <row r="32" spans="2:32" x14ac:dyDescent="0.25">
      <c r="B32" s="54">
        <v>26</v>
      </c>
      <c r="C32" s="168"/>
      <c r="D32" s="51"/>
      <c r="E32" s="29"/>
      <c r="F32" s="48"/>
      <c r="G32" s="29"/>
      <c r="H32" s="187"/>
      <c r="I32" s="187"/>
      <c r="J32" s="195"/>
      <c r="K32" s="86" t="str">
        <f t="shared" si="0"/>
        <v/>
      </c>
      <c r="L32" s="57" t="str">
        <f t="shared" si="7"/>
        <v/>
      </c>
      <c r="M32" s="186"/>
      <c r="N32" s="189"/>
      <c r="O32" s="190"/>
      <c r="P32" s="187"/>
      <c r="Q32" s="191"/>
      <c r="R32" s="189"/>
      <c r="S32" s="53" t="str">
        <f t="shared" si="1"/>
        <v/>
      </c>
      <c r="T32" s="63" t="str">
        <f t="shared" si="2"/>
        <v/>
      </c>
      <c r="U32" s="64" t="str">
        <f>IF(OR(ISBLANK(Trades!R32), ISBLANK(Trades!H32), ISBLANK(Trades!I32)), "", IF(Trades!H32=Trades!I32, "N/A", (Trades!R32-Trades!H32)/(Trades!H32-Trades!I32)))</f>
        <v/>
      </c>
      <c r="V32" s="65" t="str">
        <f t="shared" si="3"/>
        <v/>
      </c>
      <c r="W32" s="66" t="str">
        <f t="shared" si="4"/>
        <v/>
      </c>
      <c r="X32" s="62" t="str">
        <f t="shared" si="5"/>
        <v/>
      </c>
      <c r="Y32" s="45"/>
      <c r="Z32" s="44"/>
      <c r="AA32" s="41"/>
      <c r="AB32" s="39"/>
      <c r="AC32" s="37" t="str">
        <f t="shared" si="6"/>
        <v/>
      </c>
    </row>
    <row r="33" spans="2:29" x14ac:dyDescent="0.25">
      <c r="B33" s="54">
        <v>27</v>
      </c>
      <c r="C33" s="168"/>
      <c r="D33" s="51"/>
      <c r="E33" s="29"/>
      <c r="F33" s="48"/>
      <c r="G33" s="29"/>
      <c r="H33" s="187"/>
      <c r="I33" s="187"/>
      <c r="J33" s="195"/>
      <c r="K33" s="86" t="str">
        <f t="shared" si="0"/>
        <v/>
      </c>
      <c r="L33" s="57" t="str">
        <f t="shared" si="7"/>
        <v/>
      </c>
      <c r="M33" s="186"/>
      <c r="N33" s="189"/>
      <c r="O33" s="190"/>
      <c r="P33" s="187"/>
      <c r="Q33" s="191"/>
      <c r="R33" s="189"/>
      <c r="S33" s="53" t="str">
        <f t="shared" si="1"/>
        <v/>
      </c>
      <c r="T33" s="63" t="str">
        <f t="shared" si="2"/>
        <v/>
      </c>
      <c r="U33" s="64" t="str">
        <f>IF(OR(ISBLANK(Trades!R33), ISBLANK(Trades!H33), ISBLANK(Trades!I33)), "", IF(Trades!H33=Trades!I33, "N/A", (Trades!R33-Trades!H33)/(Trades!H33-Trades!I33)))</f>
        <v/>
      </c>
      <c r="V33" s="65" t="str">
        <f t="shared" si="3"/>
        <v/>
      </c>
      <c r="W33" s="66" t="str">
        <f t="shared" si="4"/>
        <v/>
      </c>
      <c r="X33" s="62" t="str">
        <f t="shared" si="5"/>
        <v/>
      </c>
      <c r="Y33" s="45"/>
      <c r="Z33" s="44"/>
      <c r="AA33" s="41"/>
      <c r="AB33" s="39"/>
      <c r="AC33" s="37" t="str">
        <f t="shared" si="6"/>
        <v/>
      </c>
    </row>
    <row r="34" spans="2:29" x14ac:dyDescent="0.25">
      <c r="B34" s="54">
        <v>28</v>
      </c>
      <c r="C34" s="168"/>
      <c r="D34" s="51"/>
      <c r="E34" s="29"/>
      <c r="F34" s="48"/>
      <c r="G34" s="29"/>
      <c r="H34" s="187"/>
      <c r="I34" s="187"/>
      <c r="J34" s="195"/>
      <c r="K34" s="86" t="str">
        <f t="shared" si="0"/>
        <v/>
      </c>
      <c r="L34" s="57" t="str">
        <f t="shared" si="7"/>
        <v/>
      </c>
      <c r="M34" s="186"/>
      <c r="N34" s="189"/>
      <c r="O34" s="190"/>
      <c r="P34" s="187"/>
      <c r="Q34" s="191"/>
      <c r="R34" s="189"/>
      <c r="S34" s="53" t="str">
        <f t="shared" si="1"/>
        <v/>
      </c>
      <c r="T34" s="63" t="str">
        <f t="shared" si="2"/>
        <v/>
      </c>
      <c r="U34" s="64" t="str">
        <f>IF(OR(ISBLANK(Trades!R34), ISBLANK(Trades!H34), ISBLANK(Trades!I34)), "", IF(Trades!H34=Trades!I34, "N/A", (Trades!R34-Trades!H34)/(Trades!H34-Trades!I34)))</f>
        <v/>
      </c>
      <c r="V34" s="65" t="str">
        <f t="shared" si="3"/>
        <v/>
      </c>
      <c r="W34" s="66" t="str">
        <f t="shared" si="4"/>
        <v/>
      </c>
      <c r="X34" s="62" t="str">
        <f t="shared" si="5"/>
        <v/>
      </c>
      <c r="Y34" s="45"/>
      <c r="Z34" s="44"/>
      <c r="AA34" s="41"/>
      <c r="AB34" s="39"/>
      <c r="AC34" s="37" t="str">
        <f t="shared" si="6"/>
        <v/>
      </c>
    </row>
    <row r="35" spans="2:29" x14ac:dyDescent="0.25">
      <c r="B35" s="54">
        <v>29</v>
      </c>
      <c r="C35" s="168"/>
      <c r="D35" s="51"/>
      <c r="E35" s="29"/>
      <c r="F35" s="48"/>
      <c r="G35" s="29"/>
      <c r="H35" s="187"/>
      <c r="I35" s="187"/>
      <c r="J35" s="195"/>
      <c r="K35" s="86" t="str">
        <f t="shared" si="0"/>
        <v/>
      </c>
      <c r="L35" s="57" t="str">
        <f t="shared" si="7"/>
        <v/>
      </c>
      <c r="M35" s="186"/>
      <c r="N35" s="189"/>
      <c r="O35" s="190"/>
      <c r="P35" s="187"/>
      <c r="Q35" s="191"/>
      <c r="R35" s="188"/>
      <c r="S35" s="53" t="str">
        <f t="shared" si="1"/>
        <v/>
      </c>
      <c r="T35" s="63" t="str">
        <f t="shared" si="2"/>
        <v/>
      </c>
      <c r="U35" s="64" t="str">
        <f>IF(OR(ISBLANK(Trades!R35), ISBLANK(Trades!H35), ISBLANK(Trades!I35)), "", IF(Trades!H35=Trades!I35, "N/A", (Trades!R35-Trades!H35)/(Trades!H35-Trades!I35)))</f>
        <v/>
      </c>
      <c r="V35" s="65" t="str">
        <f t="shared" si="3"/>
        <v/>
      </c>
      <c r="W35" s="66" t="str">
        <f t="shared" si="4"/>
        <v/>
      </c>
      <c r="X35" s="62" t="str">
        <f t="shared" si="5"/>
        <v/>
      </c>
      <c r="Y35" s="45"/>
      <c r="Z35" s="44"/>
      <c r="AA35" s="41"/>
      <c r="AB35" s="39"/>
      <c r="AC35" s="37" t="str">
        <f t="shared" si="6"/>
        <v/>
      </c>
    </row>
    <row r="36" spans="2:29" x14ac:dyDescent="0.25">
      <c r="B36" s="54">
        <v>30</v>
      </c>
      <c r="C36" s="168"/>
      <c r="D36" s="51"/>
      <c r="E36" s="29"/>
      <c r="F36" s="48"/>
      <c r="G36" s="29"/>
      <c r="H36" s="187"/>
      <c r="I36" s="187"/>
      <c r="J36" s="195"/>
      <c r="K36" s="86" t="str">
        <f t="shared" si="0"/>
        <v/>
      </c>
      <c r="L36" s="57" t="str">
        <f t="shared" si="7"/>
        <v/>
      </c>
      <c r="M36" s="186"/>
      <c r="N36" s="189"/>
      <c r="O36" s="190"/>
      <c r="P36" s="187"/>
      <c r="Q36" s="191"/>
      <c r="R36" s="189"/>
      <c r="S36" s="53" t="str">
        <f t="shared" si="1"/>
        <v/>
      </c>
      <c r="T36" s="63" t="str">
        <f t="shared" si="2"/>
        <v/>
      </c>
      <c r="U36" s="64" t="str">
        <f>IF(OR(ISBLANK(Trades!R36), ISBLANK(Trades!H36), ISBLANK(Trades!I36)), "", IF(Trades!H36=Trades!I36, "N/A", (Trades!R36-Trades!H36)/(Trades!H36-Trades!I36)))</f>
        <v/>
      </c>
      <c r="V36" s="65" t="str">
        <f t="shared" si="3"/>
        <v/>
      </c>
      <c r="W36" s="66" t="str">
        <f t="shared" si="4"/>
        <v/>
      </c>
      <c r="X36" s="62" t="str">
        <f t="shared" si="5"/>
        <v/>
      </c>
      <c r="Y36" s="45"/>
      <c r="Z36" s="44"/>
      <c r="AA36" s="41"/>
      <c r="AB36" s="39"/>
      <c r="AC36" s="37" t="str">
        <f t="shared" si="6"/>
        <v/>
      </c>
    </row>
    <row r="37" spans="2:29" x14ac:dyDescent="0.25">
      <c r="B37" s="54">
        <v>31</v>
      </c>
      <c r="C37" s="168"/>
      <c r="D37" s="51"/>
      <c r="E37" s="29"/>
      <c r="F37" s="48"/>
      <c r="G37" s="29"/>
      <c r="H37" s="187"/>
      <c r="I37" s="187"/>
      <c r="J37" s="195"/>
      <c r="K37" s="86" t="str">
        <f t="shared" si="0"/>
        <v/>
      </c>
      <c r="L37" s="57" t="str">
        <f t="shared" si="7"/>
        <v/>
      </c>
      <c r="M37" s="186"/>
      <c r="N37" s="189"/>
      <c r="O37" s="190"/>
      <c r="P37" s="187"/>
      <c r="Q37" s="191"/>
      <c r="R37" s="189"/>
      <c r="S37" s="53" t="str">
        <f t="shared" si="1"/>
        <v/>
      </c>
      <c r="T37" s="63" t="str">
        <f t="shared" si="2"/>
        <v/>
      </c>
      <c r="U37" s="64" t="str">
        <f>IF(OR(ISBLANK(Trades!R37), ISBLANK(Trades!H37), ISBLANK(Trades!I37)), "", IF(Trades!H37=Trades!I37, "N/A", (Trades!R37-Trades!H37)/(Trades!H37-Trades!I37)))</f>
        <v/>
      </c>
      <c r="V37" s="65" t="str">
        <f t="shared" si="3"/>
        <v/>
      </c>
      <c r="W37" s="66" t="str">
        <f t="shared" si="4"/>
        <v/>
      </c>
      <c r="X37" s="62" t="str">
        <f t="shared" si="5"/>
        <v/>
      </c>
      <c r="Y37" s="45"/>
      <c r="Z37" s="44"/>
      <c r="AA37" s="41"/>
      <c r="AB37" s="39"/>
      <c r="AC37" s="37" t="str">
        <f t="shared" si="6"/>
        <v/>
      </c>
    </row>
    <row r="38" spans="2:29" x14ac:dyDescent="0.25">
      <c r="B38" s="54">
        <v>32</v>
      </c>
      <c r="C38" s="168"/>
      <c r="D38" s="51"/>
      <c r="E38" s="29"/>
      <c r="F38" s="48"/>
      <c r="G38" s="29"/>
      <c r="H38" s="187"/>
      <c r="I38" s="187"/>
      <c r="J38" s="195"/>
      <c r="K38" s="86" t="str">
        <f t="shared" si="0"/>
        <v/>
      </c>
      <c r="L38" s="57" t="str">
        <f t="shared" si="7"/>
        <v/>
      </c>
      <c r="M38" s="186"/>
      <c r="N38" s="189"/>
      <c r="O38" s="190"/>
      <c r="P38" s="187"/>
      <c r="Q38" s="191"/>
      <c r="R38" s="189"/>
      <c r="S38" s="53" t="str">
        <f t="shared" si="1"/>
        <v/>
      </c>
      <c r="T38" s="63" t="str">
        <f t="shared" si="2"/>
        <v/>
      </c>
      <c r="U38" s="64" t="str">
        <f>IF(OR(ISBLANK(Trades!R38), ISBLANK(Trades!H38), ISBLANK(Trades!I38)), "", IF(Trades!H38=Trades!I38, "N/A", (Trades!R38-Trades!H38)/(Trades!H38-Trades!I38)))</f>
        <v/>
      </c>
      <c r="V38" s="65" t="str">
        <f t="shared" si="3"/>
        <v/>
      </c>
      <c r="W38" s="66" t="str">
        <f t="shared" si="4"/>
        <v/>
      </c>
      <c r="X38" s="62" t="str">
        <f t="shared" si="5"/>
        <v/>
      </c>
      <c r="Y38" s="45"/>
      <c r="Z38" s="44"/>
      <c r="AA38" s="41"/>
      <c r="AB38" s="39"/>
      <c r="AC38" s="37" t="str">
        <f t="shared" si="6"/>
        <v/>
      </c>
    </row>
    <row r="39" spans="2:29" x14ac:dyDescent="0.25">
      <c r="B39" s="54">
        <v>33</v>
      </c>
      <c r="C39" s="168"/>
      <c r="D39" s="51"/>
      <c r="E39" s="29"/>
      <c r="F39" s="48"/>
      <c r="G39" s="29"/>
      <c r="H39" s="187"/>
      <c r="I39" s="187"/>
      <c r="J39" s="195"/>
      <c r="K39" s="86" t="str">
        <f t="shared" si="0"/>
        <v/>
      </c>
      <c r="L39" s="57" t="str">
        <f t="shared" si="7"/>
        <v/>
      </c>
      <c r="M39" s="186"/>
      <c r="N39" s="189"/>
      <c r="O39" s="190"/>
      <c r="P39" s="187"/>
      <c r="Q39" s="191"/>
      <c r="R39" s="189"/>
      <c r="S39" s="53" t="str">
        <f t="shared" si="1"/>
        <v/>
      </c>
      <c r="T39" s="63" t="str">
        <f t="shared" si="2"/>
        <v/>
      </c>
      <c r="U39" s="64" t="str">
        <f>IF(OR(ISBLANK(Trades!R39), ISBLANK(Trades!H39), ISBLANK(Trades!I39)), "", IF(Trades!H39=Trades!I39, "N/A", (Trades!R39-Trades!H39)/(Trades!H39-Trades!I39)))</f>
        <v/>
      </c>
      <c r="V39" s="65" t="str">
        <f t="shared" si="3"/>
        <v/>
      </c>
      <c r="W39" s="66" t="str">
        <f t="shared" si="4"/>
        <v/>
      </c>
      <c r="X39" s="62" t="str">
        <f t="shared" si="5"/>
        <v/>
      </c>
      <c r="Y39" s="45"/>
      <c r="Z39" s="44"/>
      <c r="AA39" s="41"/>
      <c r="AB39" s="39"/>
      <c r="AC39" s="37" t="str">
        <f t="shared" si="6"/>
        <v/>
      </c>
    </row>
    <row r="40" spans="2:29" x14ac:dyDescent="0.25">
      <c r="B40" s="54">
        <v>34</v>
      </c>
      <c r="C40" s="168"/>
      <c r="D40" s="51"/>
      <c r="E40" s="29"/>
      <c r="F40" s="48"/>
      <c r="G40" s="29"/>
      <c r="H40" s="187"/>
      <c r="I40" s="187"/>
      <c r="J40" s="195"/>
      <c r="K40" s="86" t="str">
        <f t="shared" si="0"/>
        <v/>
      </c>
      <c r="L40" s="57" t="str">
        <f t="shared" si="7"/>
        <v/>
      </c>
      <c r="M40" s="186"/>
      <c r="N40" s="189"/>
      <c r="O40" s="190"/>
      <c r="P40" s="187"/>
      <c r="Q40" s="191"/>
      <c r="R40" s="189"/>
      <c r="S40" s="53" t="str">
        <f t="shared" si="1"/>
        <v/>
      </c>
      <c r="T40" s="63" t="str">
        <f t="shared" si="2"/>
        <v/>
      </c>
      <c r="U40" s="64" t="str">
        <f>IF(OR(ISBLANK(Trades!R40), ISBLANK(Trades!H40), ISBLANK(Trades!I40)), "", IF(Trades!H40=Trades!I40, "N/A", (Trades!R40-Trades!H40)/(Trades!H40-Trades!I40)))</f>
        <v/>
      </c>
      <c r="V40" s="65" t="str">
        <f t="shared" si="3"/>
        <v/>
      </c>
      <c r="W40" s="66" t="str">
        <f t="shared" si="4"/>
        <v/>
      </c>
      <c r="X40" s="62" t="str">
        <f t="shared" si="5"/>
        <v/>
      </c>
      <c r="Y40" s="45"/>
      <c r="Z40" s="44"/>
      <c r="AA40" s="41"/>
      <c r="AB40" s="39"/>
      <c r="AC40" s="37" t="str">
        <f t="shared" si="6"/>
        <v/>
      </c>
    </row>
    <row r="41" spans="2:29" x14ac:dyDescent="0.25">
      <c r="B41" s="54">
        <v>35</v>
      </c>
      <c r="C41" s="168"/>
      <c r="D41" s="51"/>
      <c r="E41" s="29"/>
      <c r="F41" s="48"/>
      <c r="G41" s="29"/>
      <c r="H41" s="187"/>
      <c r="I41" s="187"/>
      <c r="J41" s="195"/>
      <c r="K41" s="86" t="str">
        <f t="shared" si="0"/>
        <v/>
      </c>
      <c r="L41" s="57" t="str">
        <f t="shared" si="7"/>
        <v/>
      </c>
      <c r="M41" s="186"/>
      <c r="N41" s="189"/>
      <c r="O41" s="190"/>
      <c r="P41" s="187"/>
      <c r="Q41" s="191"/>
      <c r="R41" s="189"/>
      <c r="S41" s="53" t="str">
        <f t="shared" si="1"/>
        <v/>
      </c>
      <c r="T41" s="63" t="str">
        <f t="shared" si="2"/>
        <v/>
      </c>
      <c r="U41" s="64" t="str">
        <f>IF(OR(ISBLANK(Trades!R41), ISBLANK(Trades!H41), ISBLANK(Trades!I41)), "", IF(Trades!H41=Trades!I41, "N/A", (Trades!R41-Trades!H41)/(Trades!H41-Trades!I41)))</f>
        <v/>
      </c>
      <c r="V41" s="65" t="str">
        <f t="shared" si="3"/>
        <v/>
      </c>
      <c r="W41" s="66" t="str">
        <f t="shared" si="4"/>
        <v/>
      </c>
      <c r="X41" s="62" t="str">
        <f t="shared" si="5"/>
        <v/>
      </c>
      <c r="Y41" s="45"/>
      <c r="Z41" s="44"/>
      <c r="AA41" s="41"/>
      <c r="AB41" s="39"/>
      <c r="AC41" s="37" t="str">
        <f t="shared" si="6"/>
        <v/>
      </c>
    </row>
    <row r="42" spans="2:29" x14ac:dyDescent="0.25">
      <c r="B42" s="54">
        <v>36</v>
      </c>
      <c r="C42" s="168"/>
      <c r="D42" s="51"/>
      <c r="E42" s="29"/>
      <c r="F42" s="48"/>
      <c r="G42" s="29"/>
      <c r="H42" s="187"/>
      <c r="I42" s="187"/>
      <c r="J42" s="195"/>
      <c r="K42" s="86" t="str">
        <f t="shared" si="0"/>
        <v/>
      </c>
      <c r="L42" s="57" t="str">
        <f t="shared" si="7"/>
        <v/>
      </c>
      <c r="M42" s="186"/>
      <c r="N42" s="189"/>
      <c r="O42" s="190"/>
      <c r="P42" s="190"/>
      <c r="Q42" s="191"/>
      <c r="R42" s="189"/>
      <c r="S42" s="53" t="str">
        <f t="shared" si="1"/>
        <v/>
      </c>
      <c r="T42" s="63" t="str">
        <f t="shared" si="2"/>
        <v/>
      </c>
      <c r="U42" s="64" t="str">
        <f>IF(OR(ISBLANK(Trades!R42), ISBLANK(Trades!H42), ISBLANK(Trades!I42)), "", IF(Trades!H42=Trades!I42, "N/A", (Trades!R42-Trades!H42)/(Trades!H42-Trades!I42)))</f>
        <v/>
      </c>
      <c r="V42" s="65" t="str">
        <f t="shared" si="3"/>
        <v/>
      </c>
      <c r="W42" s="66" t="str">
        <f t="shared" si="4"/>
        <v/>
      </c>
      <c r="X42" s="62" t="str">
        <f t="shared" si="5"/>
        <v/>
      </c>
      <c r="Y42" s="45"/>
      <c r="Z42" s="44"/>
      <c r="AA42" s="41"/>
      <c r="AB42" s="39"/>
      <c r="AC42" s="37" t="str">
        <f t="shared" si="6"/>
        <v/>
      </c>
    </row>
    <row r="43" spans="2:29" x14ac:dyDescent="0.25">
      <c r="B43" s="54">
        <v>37</v>
      </c>
      <c r="C43" s="168"/>
      <c r="D43" s="51"/>
      <c r="E43" s="29"/>
      <c r="F43" s="48"/>
      <c r="G43" s="29"/>
      <c r="H43" s="187"/>
      <c r="I43" s="187"/>
      <c r="J43" s="195"/>
      <c r="K43" s="86" t="str">
        <f t="shared" si="0"/>
        <v/>
      </c>
      <c r="L43" s="57" t="str">
        <f t="shared" si="7"/>
        <v/>
      </c>
      <c r="M43" s="186"/>
      <c r="N43" s="189"/>
      <c r="O43" s="190"/>
      <c r="P43" s="190"/>
      <c r="Q43" s="191"/>
      <c r="R43" s="189"/>
      <c r="S43" s="53" t="str">
        <f t="shared" si="1"/>
        <v/>
      </c>
      <c r="T43" s="63" t="str">
        <f t="shared" si="2"/>
        <v/>
      </c>
      <c r="U43" s="64" t="str">
        <f>IF(OR(ISBLANK(Trades!R43), ISBLANK(Trades!H43), ISBLANK(Trades!I43)), "", IF(Trades!H43=Trades!I43, "N/A", (Trades!R43-Trades!H43)/(Trades!H43-Trades!I43)))</f>
        <v/>
      </c>
      <c r="V43" s="65" t="str">
        <f t="shared" si="3"/>
        <v/>
      </c>
      <c r="W43" s="66" t="str">
        <f t="shared" si="4"/>
        <v/>
      </c>
      <c r="X43" s="62" t="str">
        <f t="shared" si="5"/>
        <v/>
      </c>
      <c r="Y43" s="45"/>
      <c r="Z43" s="44"/>
      <c r="AA43" s="41"/>
      <c r="AB43" s="39"/>
      <c r="AC43" s="37" t="str">
        <f t="shared" si="6"/>
        <v/>
      </c>
    </row>
    <row r="44" spans="2:29" x14ac:dyDescent="0.25">
      <c r="B44" s="54">
        <v>38</v>
      </c>
      <c r="C44" s="168"/>
      <c r="D44" s="51"/>
      <c r="E44" s="29"/>
      <c r="F44" s="48"/>
      <c r="G44" s="29"/>
      <c r="H44" s="187"/>
      <c r="I44" s="187"/>
      <c r="J44" s="195"/>
      <c r="K44" s="86" t="str">
        <f t="shared" si="0"/>
        <v/>
      </c>
      <c r="L44" s="57" t="str">
        <f t="shared" si="7"/>
        <v/>
      </c>
      <c r="M44" s="186"/>
      <c r="N44" s="189"/>
      <c r="O44" s="190"/>
      <c r="P44" s="190"/>
      <c r="Q44" s="191"/>
      <c r="R44" s="189"/>
      <c r="S44" s="53" t="str">
        <f t="shared" si="1"/>
        <v/>
      </c>
      <c r="T44" s="63" t="str">
        <f t="shared" si="2"/>
        <v/>
      </c>
      <c r="U44" s="64" t="str">
        <f>IF(OR(ISBLANK(Trades!R44), ISBLANK(Trades!H44), ISBLANK(Trades!I44)), "", IF(Trades!H44=Trades!I44, "N/A", (Trades!R44-Trades!H44)/(Trades!H44-Trades!I44)))</f>
        <v/>
      </c>
      <c r="V44" s="65" t="str">
        <f t="shared" si="3"/>
        <v/>
      </c>
      <c r="W44" s="66" t="str">
        <f t="shared" si="4"/>
        <v/>
      </c>
      <c r="X44" s="62" t="str">
        <f t="shared" si="5"/>
        <v/>
      </c>
      <c r="Y44" s="45"/>
      <c r="Z44" s="44"/>
      <c r="AA44" s="41"/>
      <c r="AB44" s="39"/>
      <c r="AC44" s="37" t="str">
        <f t="shared" si="6"/>
        <v/>
      </c>
    </row>
    <row r="45" spans="2:29" x14ac:dyDescent="0.25">
      <c r="B45" s="54">
        <v>39</v>
      </c>
      <c r="C45" s="168"/>
      <c r="D45" s="51"/>
      <c r="E45" s="29"/>
      <c r="F45" s="48"/>
      <c r="G45" s="29"/>
      <c r="H45" s="187"/>
      <c r="I45" s="187"/>
      <c r="J45" s="195"/>
      <c r="K45" s="86" t="str">
        <f t="shared" si="0"/>
        <v/>
      </c>
      <c r="L45" s="57" t="str">
        <f t="shared" si="7"/>
        <v/>
      </c>
      <c r="M45" s="186"/>
      <c r="N45" s="189"/>
      <c r="O45" s="190"/>
      <c r="P45" s="190"/>
      <c r="Q45" s="191"/>
      <c r="R45" s="189"/>
      <c r="S45" s="53" t="str">
        <f t="shared" si="1"/>
        <v/>
      </c>
      <c r="T45" s="63" t="str">
        <f t="shared" si="2"/>
        <v/>
      </c>
      <c r="U45" s="64" t="str">
        <f>IF(OR(ISBLANK(Trades!R45), ISBLANK(Trades!H45), ISBLANK(Trades!I45)), "", IF(Trades!H45=Trades!I45, "N/A", (Trades!R45-Trades!H45)/(Trades!H45-Trades!I45)))</f>
        <v/>
      </c>
      <c r="V45" s="65" t="str">
        <f t="shared" si="3"/>
        <v/>
      </c>
      <c r="W45" s="66" t="str">
        <f t="shared" si="4"/>
        <v/>
      </c>
      <c r="X45" s="62" t="str">
        <f t="shared" si="5"/>
        <v/>
      </c>
      <c r="Y45" s="45"/>
      <c r="Z45" s="44"/>
      <c r="AA45" s="41"/>
      <c r="AB45" s="39"/>
      <c r="AC45" s="37" t="str">
        <f t="shared" si="6"/>
        <v/>
      </c>
    </row>
    <row r="46" spans="2:29" x14ac:dyDescent="0.25">
      <c r="B46" s="54">
        <v>40</v>
      </c>
      <c r="C46" s="168"/>
      <c r="D46" s="51"/>
      <c r="E46" s="29"/>
      <c r="F46" s="48"/>
      <c r="G46" s="29"/>
      <c r="H46" s="187"/>
      <c r="I46" s="187"/>
      <c r="J46" s="195"/>
      <c r="K46" s="86" t="str">
        <f t="shared" si="0"/>
        <v/>
      </c>
      <c r="L46" s="57" t="str">
        <f t="shared" si="7"/>
        <v/>
      </c>
      <c r="M46" s="186"/>
      <c r="N46" s="189"/>
      <c r="O46" s="190"/>
      <c r="P46" s="190"/>
      <c r="Q46" s="191"/>
      <c r="R46" s="189"/>
      <c r="S46" s="53" t="str">
        <f t="shared" si="1"/>
        <v/>
      </c>
      <c r="T46" s="63" t="str">
        <f t="shared" si="2"/>
        <v/>
      </c>
      <c r="U46" s="64" t="str">
        <f>IF(OR(ISBLANK(Trades!R46), ISBLANK(Trades!H46), ISBLANK(Trades!I46)), "", IF(Trades!H46=Trades!I46, "N/A", (Trades!R46-Trades!H46)/(Trades!H46-Trades!I46)))</f>
        <v/>
      </c>
      <c r="V46" s="65" t="str">
        <f t="shared" si="3"/>
        <v/>
      </c>
      <c r="W46" s="66" t="str">
        <f t="shared" si="4"/>
        <v/>
      </c>
      <c r="X46" s="62" t="str">
        <f t="shared" si="5"/>
        <v/>
      </c>
      <c r="Y46" s="45"/>
      <c r="Z46" s="44"/>
      <c r="AA46" s="41"/>
      <c r="AB46" s="39"/>
      <c r="AC46" s="37" t="str">
        <f t="shared" si="6"/>
        <v/>
      </c>
    </row>
    <row r="47" spans="2:29" x14ac:dyDescent="0.25">
      <c r="B47" s="54">
        <v>41</v>
      </c>
      <c r="C47" s="168"/>
      <c r="D47" s="51"/>
      <c r="E47" s="29"/>
      <c r="F47" s="48"/>
      <c r="G47" s="29"/>
      <c r="H47" s="187"/>
      <c r="I47" s="187"/>
      <c r="J47" s="195"/>
      <c r="K47" s="86" t="str">
        <f t="shared" si="0"/>
        <v/>
      </c>
      <c r="L47" s="57" t="str">
        <f t="shared" si="7"/>
        <v/>
      </c>
      <c r="M47" s="186"/>
      <c r="N47" s="189"/>
      <c r="O47" s="190"/>
      <c r="P47" s="190"/>
      <c r="Q47" s="191"/>
      <c r="R47" s="189"/>
      <c r="S47" s="53" t="str">
        <f t="shared" si="1"/>
        <v/>
      </c>
      <c r="T47" s="63" t="str">
        <f t="shared" si="2"/>
        <v/>
      </c>
      <c r="U47" s="64" t="str">
        <f>IF(OR(ISBLANK(Trades!R47), ISBLANK(Trades!H47), ISBLANK(Trades!I47)), "", IF(Trades!H47=Trades!I47, "N/A", (Trades!R47-Trades!H47)/(Trades!H47-Trades!I47)))</f>
        <v/>
      </c>
      <c r="V47" s="65" t="str">
        <f t="shared" si="3"/>
        <v/>
      </c>
      <c r="W47" s="66" t="str">
        <f t="shared" si="4"/>
        <v/>
      </c>
      <c r="X47" s="62" t="str">
        <f t="shared" si="5"/>
        <v/>
      </c>
      <c r="Y47" s="45"/>
      <c r="Z47" s="44"/>
      <c r="AA47" s="41"/>
      <c r="AB47" s="39"/>
      <c r="AC47" s="37" t="str">
        <f t="shared" si="6"/>
        <v/>
      </c>
    </row>
    <row r="48" spans="2:29" x14ac:dyDescent="0.25">
      <c r="B48" s="54">
        <v>42</v>
      </c>
      <c r="C48" s="168"/>
      <c r="D48" s="51"/>
      <c r="E48" s="29"/>
      <c r="F48" s="48"/>
      <c r="G48" s="29"/>
      <c r="H48" s="187"/>
      <c r="I48" s="187"/>
      <c r="J48" s="195"/>
      <c r="K48" s="86" t="str">
        <f t="shared" si="0"/>
        <v/>
      </c>
      <c r="L48" s="57" t="str">
        <f t="shared" si="7"/>
        <v/>
      </c>
      <c r="M48" s="186"/>
      <c r="N48" s="189"/>
      <c r="O48" s="190"/>
      <c r="P48" s="190"/>
      <c r="Q48" s="191"/>
      <c r="R48" s="189"/>
      <c r="S48" s="53" t="str">
        <f t="shared" si="1"/>
        <v/>
      </c>
      <c r="T48" s="63" t="str">
        <f t="shared" si="2"/>
        <v/>
      </c>
      <c r="U48" s="64" t="str">
        <f>IF(OR(ISBLANK(Trades!R48), ISBLANK(Trades!H48), ISBLANK(Trades!I48)), "", IF(Trades!H48=Trades!I48, "N/A", (Trades!R48-Trades!H48)/(Trades!H48-Trades!I48)))</f>
        <v/>
      </c>
      <c r="V48" s="65" t="str">
        <f t="shared" si="3"/>
        <v/>
      </c>
      <c r="W48" s="66" t="str">
        <f t="shared" si="4"/>
        <v/>
      </c>
      <c r="X48" s="62" t="str">
        <f t="shared" si="5"/>
        <v/>
      </c>
      <c r="Y48" s="45"/>
      <c r="Z48" s="44"/>
      <c r="AA48" s="41"/>
      <c r="AB48" s="39"/>
      <c r="AC48" s="37" t="str">
        <f t="shared" si="6"/>
        <v/>
      </c>
    </row>
    <row r="49" spans="2:29" x14ac:dyDescent="0.25">
      <c r="B49" s="54">
        <v>43</v>
      </c>
      <c r="C49" s="168"/>
      <c r="D49" s="51"/>
      <c r="E49" s="29"/>
      <c r="F49" s="48"/>
      <c r="G49" s="29"/>
      <c r="H49" s="187"/>
      <c r="I49" s="187"/>
      <c r="J49" s="195"/>
      <c r="K49" s="86" t="str">
        <f t="shared" si="0"/>
        <v/>
      </c>
      <c r="L49" s="57" t="str">
        <f t="shared" si="7"/>
        <v/>
      </c>
      <c r="M49" s="186"/>
      <c r="N49" s="189"/>
      <c r="O49" s="190"/>
      <c r="P49" s="190"/>
      <c r="Q49" s="191"/>
      <c r="R49" s="189"/>
      <c r="S49" s="53" t="str">
        <f t="shared" si="1"/>
        <v/>
      </c>
      <c r="T49" s="63" t="str">
        <f t="shared" si="2"/>
        <v/>
      </c>
      <c r="U49" s="64" t="str">
        <f>IF(OR(ISBLANK(Trades!R49), ISBLANK(Trades!H49), ISBLANK(Trades!I49)), "", IF(Trades!H49=Trades!I49, "N/A", (Trades!R49-Trades!H49)/(Trades!H49-Trades!I49)))</f>
        <v/>
      </c>
      <c r="V49" s="65" t="str">
        <f t="shared" si="3"/>
        <v/>
      </c>
      <c r="W49" s="66" t="str">
        <f t="shared" si="4"/>
        <v/>
      </c>
      <c r="X49" s="62" t="str">
        <f t="shared" si="5"/>
        <v/>
      </c>
      <c r="Y49" s="45"/>
      <c r="Z49" s="44"/>
      <c r="AA49" s="41"/>
      <c r="AB49" s="39"/>
      <c r="AC49" s="37" t="str">
        <f t="shared" si="6"/>
        <v/>
      </c>
    </row>
    <row r="50" spans="2:29" x14ac:dyDescent="0.25">
      <c r="B50" s="54">
        <v>44</v>
      </c>
      <c r="C50" s="168"/>
      <c r="D50" s="51"/>
      <c r="E50" s="29"/>
      <c r="F50" s="48"/>
      <c r="G50" s="29"/>
      <c r="H50" s="187"/>
      <c r="I50" s="187"/>
      <c r="J50" s="195"/>
      <c r="K50" s="86" t="str">
        <f t="shared" si="0"/>
        <v/>
      </c>
      <c r="L50" s="57" t="str">
        <f t="shared" si="7"/>
        <v/>
      </c>
      <c r="M50" s="186"/>
      <c r="N50" s="189"/>
      <c r="O50" s="190"/>
      <c r="P50" s="190"/>
      <c r="Q50" s="191"/>
      <c r="R50" s="189"/>
      <c r="S50" s="53" t="str">
        <f t="shared" si="1"/>
        <v/>
      </c>
      <c r="T50" s="63" t="str">
        <f t="shared" si="2"/>
        <v/>
      </c>
      <c r="U50" s="64" t="str">
        <f>IF(OR(ISBLANK(Trades!R50), ISBLANK(Trades!H50), ISBLANK(Trades!I50)), "", IF(Trades!H50=Trades!I50, "N/A", (Trades!R50-Trades!H50)/(Trades!H50-Trades!I50)))</f>
        <v/>
      </c>
      <c r="V50" s="65" t="str">
        <f t="shared" si="3"/>
        <v/>
      </c>
      <c r="W50" s="66" t="str">
        <f t="shared" si="4"/>
        <v/>
      </c>
      <c r="X50" s="62" t="str">
        <f t="shared" si="5"/>
        <v/>
      </c>
      <c r="Y50" s="45"/>
      <c r="Z50" s="44"/>
      <c r="AA50" s="41"/>
      <c r="AB50" s="39"/>
      <c r="AC50" s="37" t="str">
        <f t="shared" si="6"/>
        <v/>
      </c>
    </row>
    <row r="51" spans="2:29" x14ac:dyDescent="0.25">
      <c r="B51" s="54">
        <v>45</v>
      </c>
      <c r="C51" s="168"/>
      <c r="D51" s="51"/>
      <c r="E51" s="29"/>
      <c r="F51" s="48"/>
      <c r="G51" s="29"/>
      <c r="H51" s="187"/>
      <c r="I51" s="187"/>
      <c r="J51" s="195"/>
      <c r="K51" s="86" t="str">
        <f t="shared" si="0"/>
        <v/>
      </c>
      <c r="L51" s="57" t="str">
        <f t="shared" si="7"/>
        <v/>
      </c>
      <c r="M51" s="186"/>
      <c r="N51" s="189"/>
      <c r="O51" s="190"/>
      <c r="P51" s="190"/>
      <c r="Q51" s="191"/>
      <c r="R51" s="189"/>
      <c r="S51" s="53" t="str">
        <f t="shared" si="1"/>
        <v/>
      </c>
      <c r="T51" s="63" t="str">
        <f t="shared" si="2"/>
        <v/>
      </c>
      <c r="U51" s="64" t="str">
        <f>IF(OR(ISBLANK(Trades!R51), ISBLANK(Trades!H51), ISBLANK(Trades!I51)), "", IF(Trades!H51=Trades!I51, "N/A", (Trades!R51-Trades!H51)/(Trades!H51-Trades!I51)))</f>
        <v/>
      </c>
      <c r="V51" s="65" t="str">
        <f t="shared" si="3"/>
        <v/>
      </c>
      <c r="W51" s="66" t="str">
        <f t="shared" si="4"/>
        <v/>
      </c>
      <c r="X51" s="62" t="str">
        <f t="shared" si="5"/>
        <v/>
      </c>
      <c r="Y51" s="45"/>
      <c r="Z51" s="44"/>
      <c r="AA51" s="41"/>
      <c r="AB51" s="39"/>
      <c r="AC51" s="37" t="str">
        <f t="shared" si="6"/>
        <v/>
      </c>
    </row>
    <row r="52" spans="2:29" x14ac:dyDescent="0.25">
      <c r="B52" s="54">
        <v>46</v>
      </c>
      <c r="C52" s="168"/>
      <c r="D52" s="51"/>
      <c r="E52" s="29"/>
      <c r="F52" s="48"/>
      <c r="G52" s="29"/>
      <c r="H52" s="187"/>
      <c r="I52" s="187"/>
      <c r="J52" s="195"/>
      <c r="K52" s="86" t="str">
        <f t="shared" si="0"/>
        <v/>
      </c>
      <c r="L52" s="57" t="str">
        <f t="shared" si="7"/>
        <v/>
      </c>
      <c r="M52" s="186"/>
      <c r="N52" s="189"/>
      <c r="O52" s="190"/>
      <c r="P52" s="190"/>
      <c r="Q52" s="191"/>
      <c r="R52" s="189"/>
      <c r="S52" s="53" t="str">
        <f t="shared" si="1"/>
        <v/>
      </c>
      <c r="T52" s="63" t="str">
        <f t="shared" si="2"/>
        <v/>
      </c>
      <c r="U52" s="64" t="str">
        <f>IF(OR(ISBLANK(Trades!R52), ISBLANK(Trades!H52), ISBLANK(Trades!I52)), "", IF(Trades!H52=Trades!I52, "N/A", (Trades!R52-Trades!H52)/(Trades!H52-Trades!I52)))</f>
        <v/>
      </c>
      <c r="V52" s="65" t="str">
        <f t="shared" si="3"/>
        <v/>
      </c>
      <c r="W52" s="66" t="str">
        <f t="shared" si="4"/>
        <v/>
      </c>
      <c r="X52" s="62" t="str">
        <f t="shared" si="5"/>
        <v/>
      </c>
      <c r="Y52" s="45"/>
      <c r="Z52" s="44"/>
      <c r="AA52" s="41"/>
      <c r="AB52" s="39"/>
      <c r="AC52" s="37" t="str">
        <f t="shared" si="6"/>
        <v/>
      </c>
    </row>
    <row r="53" spans="2:29" x14ac:dyDescent="0.25">
      <c r="B53" s="54">
        <v>47</v>
      </c>
      <c r="C53" s="168"/>
      <c r="D53" s="51"/>
      <c r="E53" s="29"/>
      <c r="F53" s="48"/>
      <c r="G53" s="29"/>
      <c r="H53" s="187"/>
      <c r="I53" s="187"/>
      <c r="J53" s="195"/>
      <c r="K53" s="86" t="str">
        <f t="shared" si="0"/>
        <v/>
      </c>
      <c r="L53" s="57" t="str">
        <f t="shared" si="7"/>
        <v/>
      </c>
      <c r="M53" s="186"/>
      <c r="N53" s="189"/>
      <c r="O53" s="190"/>
      <c r="P53" s="190"/>
      <c r="Q53" s="191"/>
      <c r="R53" s="189"/>
      <c r="S53" s="53" t="str">
        <f t="shared" si="1"/>
        <v/>
      </c>
      <c r="T53" s="63" t="str">
        <f t="shared" si="2"/>
        <v/>
      </c>
      <c r="U53" s="64" t="str">
        <f>IF(OR(ISBLANK(Trades!R53), ISBLANK(Trades!H53), ISBLANK(Trades!I53)), "", IF(Trades!H53=Trades!I53, "N/A", (Trades!R53-Trades!H53)/(Trades!H53-Trades!I53)))</f>
        <v/>
      </c>
      <c r="V53" s="65" t="str">
        <f t="shared" si="3"/>
        <v/>
      </c>
      <c r="W53" s="66" t="str">
        <f t="shared" si="4"/>
        <v/>
      </c>
      <c r="X53" s="62" t="str">
        <f t="shared" si="5"/>
        <v/>
      </c>
      <c r="Y53" s="45"/>
      <c r="Z53" s="44"/>
      <c r="AA53" s="41"/>
      <c r="AB53" s="39"/>
      <c r="AC53" s="37" t="str">
        <f t="shared" si="6"/>
        <v/>
      </c>
    </row>
    <row r="54" spans="2:29" x14ac:dyDescent="0.25">
      <c r="B54" s="54">
        <v>48</v>
      </c>
      <c r="C54" s="168"/>
      <c r="D54" s="51"/>
      <c r="E54" s="29"/>
      <c r="F54" s="48"/>
      <c r="G54" s="29"/>
      <c r="H54" s="187"/>
      <c r="I54" s="187"/>
      <c r="J54" s="195"/>
      <c r="K54" s="86" t="str">
        <f t="shared" si="0"/>
        <v/>
      </c>
      <c r="L54" s="57" t="str">
        <f t="shared" si="7"/>
        <v/>
      </c>
      <c r="M54" s="186"/>
      <c r="N54" s="189"/>
      <c r="O54" s="190"/>
      <c r="P54" s="190"/>
      <c r="Q54" s="191"/>
      <c r="R54" s="189"/>
      <c r="S54" s="53" t="str">
        <f t="shared" si="1"/>
        <v/>
      </c>
      <c r="T54" s="63" t="str">
        <f t="shared" si="2"/>
        <v/>
      </c>
      <c r="U54" s="64" t="str">
        <f>IF(OR(ISBLANK(Trades!R54), ISBLANK(Trades!H54), ISBLANK(Trades!I54)), "", IF(Trades!H54=Trades!I54, "N/A", (Trades!R54-Trades!H54)/(Trades!H54-Trades!I54)))</f>
        <v/>
      </c>
      <c r="V54" s="65" t="str">
        <f t="shared" si="3"/>
        <v/>
      </c>
      <c r="W54" s="66" t="str">
        <f t="shared" si="4"/>
        <v/>
      </c>
      <c r="X54" s="62" t="str">
        <f t="shared" si="5"/>
        <v/>
      </c>
      <c r="Y54" s="45"/>
      <c r="Z54" s="44"/>
      <c r="AA54" s="41"/>
      <c r="AB54" s="39"/>
      <c r="AC54" s="37" t="str">
        <f t="shared" si="6"/>
        <v/>
      </c>
    </row>
    <row r="55" spans="2:29" x14ac:dyDescent="0.25">
      <c r="B55" s="54">
        <v>49</v>
      </c>
      <c r="C55" s="168"/>
      <c r="D55" s="51"/>
      <c r="E55" s="29"/>
      <c r="F55" s="48"/>
      <c r="G55" s="29"/>
      <c r="H55" s="187"/>
      <c r="I55" s="187"/>
      <c r="J55" s="195"/>
      <c r="K55" s="86" t="str">
        <f t="shared" si="0"/>
        <v/>
      </c>
      <c r="L55" s="57" t="str">
        <f t="shared" si="7"/>
        <v/>
      </c>
      <c r="M55" s="186"/>
      <c r="N55" s="189"/>
      <c r="O55" s="190"/>
      <c r="P55" s="190"/>
      <c r="Q55" s="191"/>
      <c r="R55" s="189"/>
      <c r="S55" s="53" t="str">
        <f t="shared" si="1"/>
        <v/>
      </c>
      <c r="T55" s="63" t="str">
        <f t="shared" si="2"/>
        <v/>
      </c>
      <c r="U55" s="64" t="str">
        <f>IF(OR(ISBLANK(Trades!R55), ISBLANK(Trades!H55), ISBLANK(Trades!I55)), "", IF(Trades!H55=Trades!I55, "N/A", (Trades!R55-Trades!H55)/(Trades!H55-Trades!I55)))</f>
        <v/>
      </c>
      <c r="V55" s="65" t="str">
        <f t="shared" si="3"/>
        <v/>
      </c>
      <c r="W55" s="66" t="str">
        <f t="shared" si="4"/>
        <v/>
      </c>
      <c r="X55" s="62" t="str">
        <f t="shared" si="5"/>
        <v/>
      </c>
      <c r="Y55" s="45"/>
      <c r="Z55" s="44"/>
      <c r="AA55" s="41"/>
      <c r="AB55" s="39"/>
      <c r="AC55" s="37" t="str">
        <f t="shared" si="6"/>
        <v/>
      </c>
    </row>
    <row r="56" spans="2:29" x14ac:dyDescent="0.25">
      <c r="B56" s="54">
        <v>50</v>
      </c>
      <c r="C56" s="168"/>
      <c r="D56" s="51"/>
      <c r="E56" s="29"/>
      <c r="F56" s="48"/>
      <c r="G56" s="29"/>
      <c r="H56" s="187"/>
      <c r="I56" s="187"/>
      <c r="J56" s="195"/>
      <c r="K56" s="86" t="str">
        <f t="shared" si="0"/>
        <v/>
      </c>
      <c r="L56" s="57" t="str">
        <f t="shared" si="7"/>
        <v/>
      </c>
      <c r="M56" s="186"/>
      <c r="N56" s="189"/>
      <c r="O56" s="190"/>
      <c r="P56" s="190"/>
      <c r="Q56" s="191"/>
      <c r="R56" s="189"/>
      <c r="S56" s="53" t="str">
        <f t="shared" si="1"/>
        <v/>
      </c>
      <c r="T56" s="63" t="str">
        <f t="shared" si="2"/>
        <v/>
      </c>
      <c r="U56" s="64" t="str">
        <f>IF(OR(ISBLANK(Trades!R56), ISBLANK(Trades!H56), ISBLANK(Trades!I56)), "", IF(Trades!H56=Trades!I56, "N/A", (Trades!R56-Trades!H56)/(Trades!H56-Trades!I56)))</f>
        <v/>
      </c>
      <c r="V56" s="65" t="str">
        <f t="shared" si="3"/>
        <v/>
      </c>
      <c r="W56" s="66" t="str">
        <f t="shared" si="4"/>
        <v/>
      </c>
      <c r="X56" s="62" t="str">
        <f t="shared" si="5"/>
        <v/>
      </c>
      <c r="Y56" s="45"/>
      <c r="Z56" s="44"/>
      <c r="AA56" s="41"/>
      <c r="AB56" s="39"/>
      <c r="AC56" s="37" t="str">
        <f t="shared" si="6"/>
        <v/>
      </c>
    </row>
    <row r="57" spans="2:29" x14ac:dyDescent="0.25">
      <c r="B57" s="54">
        <v>51</v>
      </c>
      <c r="C57" s="168"/>
      <c r="D57" s="51"/>
      <c r="E57" s="29"/>
      <c r="F57" s="48"/>
      <c r="G57" s="29"/>
      <c r="H57" s="187"/>
      <c r="I57" s="187"/>
      <c r="J57" s="195"/>
      <c r="K57" s="86" t="str">
        <f t="shared" si="0"/>
        <v/>
      </c>
      <c r="L57" s="57" t="str">
        <f t="shared" si="7"/>
        <v/>
      </c>
      <c r="M57" s="186"/>
      <c r="N57" s="189"/>
      <c r="O57" s="190"/>
      <c r="P57" s="190"/>
      <c r="Q57" s="191"/>
      <c r="R57" s="189"/>
      <c r="S57" s="53" t="str">
        <f t="shared" si="1"/>
        <v/>
      </c>
      <c r="T57" s="63" t="str">
        <f t="shared" si="2"/>
        <v/>
      </c>
      <c r="U57" s="64" t="str">
        <f>IF(OR(ISBLANK(Trades!R57), ISBLANK(Trades!H57), ISBLANK(Trades!I57)), "", IF(Trades!H57=Trades!I57, "N/A", (Trades!R57-Trades!H57)/(Trades!H57-Trades!I57)))</f>
        <v/>
      </c>
      <c r="V57" s="65" t="str">
        <f t="shared" si="3"/>
        <v/>
      </c>
      <c r="W57" s="66" t="str">
        <f t="shared" si="4"/>
        <v/>
      </c>
      <c r="X57" s="62" t="str">
        <f t="shared" si="5"/>
        <v/>
      </c>
      <c r="Y57" s="45"/>
      <c r="Z57" s="44"/>
      <c r="AA57" s="41"/>
      <c r="AB57" s="39"/>
      <c r="AC57" s="37" t="str">
        <f t="shared" si="6"/>
        <v/>
      </c>
    </row>
    <row r="58" spans="2:29" x14ac:dyDescent="0.25">
      <c r="B58" s="54">
        <v>52</v>
      </c>
      <c r="C58" s="168"/>
      <c r="D58" s="51"/>
      <c r="E58" s="29"/>
      <c r="F58" s="48"/>
      <c r="G58" s="29"/>
      <c r="H58" s="187"/>
      <c r="I58" s="187"/>
      <c r="J58" s="195"/>
      <c r="K58" s="86" t="str">
        <f t="shared" si="0"/>
        <v/>
      </c>
      <c r="L58" s="57" t="str">
        <f t="shared" si="7"/>
        <v/>
      </c>
      <c r="M58" s="186"/>
      <c r="N58" s="189"/>
      <c r="O58" s="190"/>
      <c r="P58" s="190"/>
      <c r="Q58" s="191"/>
      <c r="R58" s="189"/>
      <c r="S58" s="53" t="str">
        <f t="shared" si="1"/>
        <v/>
      </c>
      <c r="T58" s="63" t="str">
        <f t="shared" si="2"/>
        <v/>
      </c>
      <c r="U58" s="64" t="str">
        <f>IF(OR(ISBLANK(Trades!R58), ISBLANK(Trades!H58), ISBLANK(Trades!I58)), "", IF(Trades!H58=Trades!I58, "N/A", (Trades!R58-Trades!H58)/(Trades!H58-Trades!I58)))</f>
        <v/>
      </c>
      <c r="V58" s="65" t="str">
        <f t="shared" si="3"/>
        <v/>
      </c>
      <c r="W58" s="66" t="str">
        <f t="shared" si="4"/>
        <v/>
      </c>
      <c r="X58" s="62" t="str">
        <f t="shared" si="5"/>
        <v/>
      </c>
      <c r="Y58" s="45"/>
      <c r="Z58" s="44"/>
      <c r="AA58" s="41"/>
      <c r="AB58" s="39"/>
      <c r="AC58" s="37" t="str">
        <f t="shared" si="6"/>
        <v/>
      </c>
    </row>
    <row r="59" spans="2:29" x14ac:dyDescent="0.25">
      <c r="B59" s="54">
        <v>53</v>
      </c>
      <c r="C59" s="168"/>
      <c r="D59" s="51"/>
      <c r="E59" s="29"/>
      <c r="F59" s="48"/>
      <c r="G59" s="29"/>
      <c r="H59" s="187"/>
      <c r="I59" s="187"/>
      <c r="J59" s="195"/>
      <c r="K59" s="86" t="str">
        <f t="shared" si="0"/>
        <v/>
      </c>
      <c r="L59" s="57" t="str">
        <f t="shared" si="7"/>
        <v/>
      </c>
      <c r="M59" s="186"/>
      <c r="N59" s="189"/>
      <c r="O59" s="190"/>
      <c r="P59" s="190"/>
      <c r="Q59" s="191"/>
      <c r="R59" s="189"/>
      <c r="S59" s="53" t="str">
        <f t="shared" si="1"/>
        <v/>
      </c>
      <c r="T59" s="63" t="str">
        <f t="shared" si="2"/>
        <v/>
      </c>
      <c r="U59" s="64" t="str">
        <f>IF(OR(ISBLANK(Trades!R59), ISBLANK(Trades!H59), ISBLANK(Trades!I59)), "", IF(Trades!H59=Trades!I59, "N/A", (Trades!R59-Trades!H59)/(Trades!H59-Trades!I59)))</f>
        <v/>
      </c>
      <c r="V59" s="65" t="str">
        <f t="shared" si="3"/>
        <v/>
      </c>
      <c r="W59" s="66" t="str">
        <f t="shared" si="4"/>
        <v/>
      </c>
      <c r="X59" s="62" t="str">
        <f t="shared" si="5"/>
        <v/>
      </c>
      <c r="Y59" s="45"/>
      <c r="Z59" s="44"/>
      <c r="AA59" s="41"/>
      <c r="AB59" s="39"/>
      <c r="AC59" s="37" t="str">
        <f t="shared" si="6"/>
        <v/>
      </c>
    </row>
    <row r="60" spans="2:29" x14ac:dyDescent="0.25">
      <c r="B60" s="54">
        <v>54</v>
      </c>
      <c r="C60" s="168"/>
      <c r="D60" s="51"/>
      <c r="E60" s="29"/>
      <c r="F60" s="48"/>
      <c r="G60" s="29"/>
      <c r="H60" s="187"/>
      <c r="I60" s="187"/>
      <c r="J60" s="195"/>
      <c r="K60" s="86" t="str">
        <f t="shared" si="0"/>
        <v/>
      </c>
      <c r="L60" s="57" t="str">
        <f t="shared" si="7"/>
        <v/>
      </c>
      <c r="M60" s="186"/>
      <c r="N60" s="189"/>
      <c r="O60" s="190"/>
      <c r="P60" s="190"/>
      <c r="Q60" s="191"/>
      <c r="R60" s="189"/>
      <c r="S60" s="53" t="str">
        <f t="shared" si="1"/>
        <v/>
      </c>
      <c r="T60" s="63" t="str">
        <f t="shared" si="2"/>
        <v/>
      </c>
      <c r="U60" s="64" t="str">
        <f>IF(OR(ISBLANK(Trades!R60), ISBLANK(Trades!H60), ISBLANK(Trades!I60)), "", IF(Trades!H60=Trades!I60, "N/A", (Trades!R60-Trades!H60)/(Trades!H60-Trades!I60)))</f>
        <v/>
      </c>
      <c r="V60" s="65" t="str">
        <f t="shared" si="3"/>
        <v/>
      </c>
      <c r="W60" s="66" t="str">
        <f t="shared" si="4"/>
        <v/>
      </c>
      <c r="X60" s="62" t="str">
        <f t="shared" si="5"/>
        <v/>
      </c>
      <c r="Y60" s="45"/>
      <c r="Z60" s="44"/>
      <c r="AA60" s="41"/>
      <c r="AB60" s="39"/>
      <c r="AC60" s="37" t="str">
        <f t="shared" si="6"/>
        <v/>
      </c>
    </row>
    <row r="61" spans="2:29" x14ac:dyDescent="0.25">
      <c r="B61" s="54">
        <v>55</v>
      </c>
      <c r="C61" s="168"/>
      <c r="D61" s="51"/>
      <c r="E61" s="29"/>
      <c r="F61" s="48"/>
      <c r="G61" s="29"/>
      <c r="H61" s="187"/>
      <c r="I61" s="187"/>
      <c r="J61" s="195"/>
      <c r="K61" s="86" t="str">
        <f t="shared" si="0"/>
        <v/>
      </c>
      <c r="L61" s="57" t="str">
        <f t="shared" si="7"/>
        <v/>
      </c>
      <c r="M61" s="186"/>
      <c r="N61" s="189"/>
      <c r="O61" s="190"/>
      <c r="P61" s="190"/>
      <c r="Q61" s="191"/>
      <c r="R61" s="189"/>
      <c r="S61" s="53" t="str">
        <f t="shared" si="1"/>
        <v/>
      </c>
      <c r="T61" s="63" t="str">
        <f t="shared" si="2"/>
        <v/>
      </c>
      <c r="U61" s="64" t="str">
        <f>IF(OR(ISBLANK(Trades!R61), ISBLANK(Trades!H61), ISBLANK(Trades!I61)), "", IF(Trades!H61=Trades!I61, "N/A", (Trades!R61-Trades!H61)/(Trades!H61-Trades!I61)))</f>
        <v/>
      </c>
      <c r="V61" s="65" t="str">
        <f t="shared" si="3"/>
        <v/>
      </c>
      <c r="W61" s="66" t="str">
        <f t="shared" si="4"/>
        <v/>
      </c>
      <c r="X61" s="62" t="str">
        <f t="shared" si="5"/>
        <v/>
      </c>
      <c r="Y61" s="45"/>
      <c r="Z61" s="44"/>
      <c r="AA61" s="41"/>
      <c r="AB61" s="39"/>
      <c r="AC61" s="37" t="str">
        <f t="shared" si="6"/>
        <v/>
      </c>
    </row>
    <row r="62" spans="2:29" x14ac:dyDescent="0.25">
      <c r="B62" s="54">
        <v>56</v>
      </c>
      <c r="C62" s="168"/>
      <c r="D62" s="51"/>
      <c r="E62" s="29"/>
      <c r="F62" s="48"/>
      <c r="G62" s="29"/>
      <c r="H62" s="187"/>
      <c r="I62" s="187"/>
      <c r="J62" s="195"/>
      <c r="K62" s="86" t="str">
        <f t="shared" si="0"/>
        <v/>
      </c>
      <c r="L62" s="57" t="str">
        <f t="shared" si="7"/>
        <v/>
      </c>
      <c r="M62" s="186"/>
      <c r="N62" s="189"/>
      <c r="O62" s="190"/>
      <c r="P62" s="190"/>
      <c r="Q62" s="191"/>
      <c r="R62" s="189"/>
      <c r="S62" s="53" t="str">
        <f t="shared" si="1"/>
        <v/>
      </c>
      <c r="T62" s="63" t="str">
        <f t="shared" si="2"/>
        <v/>
      </c>
      <c r="U62" s="64" t="str">
        <f>IF(OR(ISBLANK(Trades!R62), ISBLANK(Trades!H62), ISBLANK(Trades!I62)), "", IF(Trades!H62=Trades!I62, "N/A", (Trades!R62-Trades!H62)/(Trades!H62-Trades!I62)))</f>
        <v/>
      </c>
      <c r="V62" s="65" t="str">
        <f t="shared" si="3"/>
        <v/>
      </c>
      <c r="W62" s="66" t="str">
        <f t="shared" si="4"/>
        <v/>
      </c>
      <c r="X62" s="62" t="str">
        <f t="shared" si="5"/>
        <v/>
      </c>
      <c r="Y62" s="45"/>
      <c r="Z62" s="44"/>
      <c r="AA62" s="41"/>
      <c r="AB62" s="39"/>
      <c r="AC62" s="37" t="str">
        <f t="shared" si="6"/>
        <v/>
      </c>
    </row>
    <row r="63" spans="2:29" x14ac:dyDescent="0.25">
      <c r="B63" s="54">
        <v>57</v>
      </c>
      <c r="C63" s="168"/>
      <c r="D63" s="51"/>
      <c r="E63" s="29"/>
      <c r="F63" s="48"/>
      <c r="G63" s="29"/>
      <c r="H63" s="187"/>
      <c r="I63" s="187"/>
      <c r="J63" s="195"/>
      <c r="K63" s="86" t="str">
        <f t="shared" si="0"/>
        <v/>
      </c>
      <c r="L63" s="57" t="str">
        <f t="shared" si="7"/>
        <v/>
      </c>
      <c r="M63" s="186"/>
      <c r="N63" s="189"/>
      <c r="O63" s="190"/>
      <c r="P63" s="190"/>
      <c r="Q63" s="191"/>
      <c r="R63" s="189"/>
      <c r="S63" s="53" t="str">
        <f t="shared" si="1"/>
        <v/>
      </c>
      <c r="T63" s="63" t="str">
        <f t="shared" si="2"/>
        <v/>
      </c>
      <c r="U63" s="64" t="str">
        <f>IF(OR(ISBLANK(Trades!R63), ISBLANK(Trades!H63), ISBLANK(Trades!I63)), "", IF(Trades!H63=Trades!I63, "N/A", (Trades!R63-Trades!H63)/(Trades!H63-Trades!I63)))</f>
        <v/>
      </c>
      <c r="V63" s="65" t="str">
        <f t="shared" si="3"/>
        <v/>
      </c>
      <c r="W63" s="66" t="str">
        <f t="shared" si="4"/>
        <v/>
      </c>
      <c r="X63" s="62" t="str">
        <f t="shared" si="5"/>
        <v/>
      </c>
      <c r="Y63" s="45"/>
      <c r="Z63" s="44"/>
      <c r="AA63" s="41"/>
      <c r="AB63" s="39"/>
      <c r="AC63" s="37" t="str">
        <f t="shared" si="6"/>
        <v/>
      </c>
    </row>
    <row r="64" spans="2:29" x14ac:dyDescent="0.25">
      <c r="B64" s="54">
        <v>58</v>
      </c>
      <c r="C64" s="168"/>
      <c r="D64" s="51"/>
      <c r="E64" s="29"/>
      <c r="F64" s="48"/>
      <c r="G64" s="29"/>
      <c r="H64" s="187"/>
      <c r="I64" s="187"/>
      <c r="J64" s="195"/>
      <c r="K64" s="86" t="str">
        <f t="shared" si="0"/>
        <v/>
      </c>
      <c r="L64" s="57" t="str">
        <f t="shared" si="7"/>
        <v/>
      </c>
      <c r="M64" s="186"/>
      <c r="N64" s="189"/>
      <c r="O64" s="190"/>
      <c r="P64" s="190"/>
      <c r="Q64" s="191"/>
      <c r="R64" s="189"/>
      <c r="S64" s="53" t="str">
        <f t="shared" si="1"/>
        <v/>
      </c>
      <c r="T64" s="63" t="str">
        <f t="shared" si="2"/>
        <v/>
      </c>
      <c r="U64" s="64" t="str">
        <f>IF(OR(ISBLANK(Trades!R64), ISBLANK(Trades!H64), ISBLANK(Trades!I64)), "", IF(Trades!H64=Trades!I64, "N/A", (Trades!R64-Trades!H64)/(Trades!H64-Trades!I64)))</f>
        <v/>
      </c>
      <c r="V64" s="65" t="str">
        <f t="shared" si="3"/>
        <v/>
      </c>
      <c r="W64" s="66" t="str">
        <f t="shared" si="4"/>
        <v/>
      </c>
      <c r="X64" s="62" t="str">
        <f t="shared" si="5"/>
        <v/>
      </c>
      <c r="Y64" s="45"/>
      <c r="Z64" s="44"/>
      <c r="AA64" s="41"/>
      <c r="AB64" s="39"/>
      <c r="AC64" s="37" t="str">
        <f t="shared" si="6"/>
        <v/>
      </c>
    </row>
    <row r="65" spans="2:29" x14ac:dyDescent="0.25">
      <c r="B65" s="54">
        <v>59</v>
      </c>
      <c r="C65" s="168"/>
      <c r="D65" s="51"/>
      <c r="E65" s="29"/>
      <c r="F65" s="48"/>
      <c r="G65" s="29"/>
      <c r="H65" s="187"/>
      <c r="I65" s="187"/>
      <c r="J65" s="195"/>
      <c r="K65" s="86" t="str">
        <f t="shared" si="0"/>
        <v/>
      </c>
      <c r="L65" s="57" t="str">
        <f t="shared" si="7"/>
        <v/>
      </c>
      <c r="M65" s="186"/>
      <c r="N65" s="189"/>
      <c r="O65" s="190"/>
      <c r="P65" s="190"/>
      <c r="Q65" s="191"/>
      <c r="R65" s="189"/>
      <c r="S65" s="53" t="str">
        <f t="shared" si="1"/>
        <v/>
      </c>
      <c r="T65" s="63" t="str">
        <f t="shared" si="2"/>
        <v/>
      </c>
      <c r="U65" s="64" t="str">
        <f>IF(OR(ISBLANK(Trades!R65), ISBLANK(Trades!H65), ISBLANK(Trades!I65)), "", IF(Trades!H65=Trades!I65, "N/A", (Trades!R65-Trades!H65)/(Trades!H65-Trades!I65)))</f>
        <v/>
      </c>
      <c r="V65" s="65" t="str">
        <f t="shared" si="3"/>
        <v/>
      </c>
      <c r="W65" s="66" t="str">
        <f t="shared" si="4"/>
        <v/>
      </c>
      <c r="X65" s="62" t="str">
        <f t="shared" si="5"/>
        <v/>
      </c>
      <c r="Y65" s="45"/>
      <c r="Z65" s="44"/>
      <c r="AA65" s="41"/>
      <c r="AB65" s="39"/>
      <c r="AC65" s="37" t="str">
        <f t="shared" si="6"/>
        <v/>
      </c>
    </row>
    <row r="66" spans="2:29" x14ac:dyDescent="0.25">
      <c r="B66" s="54">
        <v>60</v>
      </c>
      <c r="C66" s="168"/>
      <c r="D66" s="51"/>
      <c r="E66" s="29"/>
      <c r="F66" s="48"/>
      <c r="G66" s="29"/>
      <c r="H66" s="187"/>
      <c r="I66" s="187"/>
      <c r="J66" s="195"/>
      <c r="K66" s="86" t="str">
        <f t="shared" si="0"/>
        <v/>
      </c>
      <c r="L66" s="57" t="str">
        <f t="shared" si="7"/>
        <v/>
      </c>
      <c r="M66" s="186"/>
      <c r="N66" s="189"/>
      <c r="O66" s="190"/>
      <c r="P66" s="190"/>
      <c r="Q66" s="191"/>
      <c r="R66" s="189"/>
      <c r="S66" s="53" t="str">
        <f t="shared" si="1"/>
        <v/>
      </c>
      <c r="T66" s="63" t="str">
        <f t="shared" si="2"/>
        <v/>
      </c>
      <c r="U66" s="64" t="str">
        <f>IF(OR(ISBLANK(Trades!R66), ISBLANK(Trades!H66), ISBLANK(Trades!I66)), "", IF(Trades!H66=Trades!I66, "N/A", (Trades!R66-Trades!H66)/(Trades!H66-Trades!I66)))</f>
        <v/>
      </c>
      <c r="V66" s="65" t="str">
        <f t="shared" si="3"/>
        <v/>
      </c>
      <c r="W66" s="66" t="str">
        <f t="shared" si="4"/>
        <v/>
      </c>
      <c r="X66" s="62" t="str">
        <f t="shared" si="5"/>
        <v/>
      </c>
      <c r="Y66" s="45"/>
      <c r="Z66" s="44"/>
      <c r="AA66" s="41"/>
      <c r="AB66" s="39"/>
      <c r="AC66" s="37" t="str">
        <f t="shared" si="6"/>
        <v/>
      </c>
    </row>
    <row r="67" spans="2:29" x14ac:dyDescent="0.25">
      <c r="B67" s="54">
        <v>61</v>
      </c>
      <c r="C67" s="168"/>
      <c r="D67" s="51"/>
      <c r="E67" s="29"/>
      <c r="F67" s="48"/>
      <c r="G67" s="29"/>
      <c r="H67" s="187"/>
      <c r="I67" s="187"/>
      <c r="J67" s="195"/>
      <c r="K67" s="86" t="str">
        <f t="shared" si="0"/>
        <v/>
      </c>
      <c r="L67" s="57" t="str">
        <f t="shared" si="7"/>
        <v/>
      </c>
      <c r="M67" s="186"/>
      <c r="N67" s="189"/>
      <c r="O67" s="190"/>
      <c r="P67" s="190"/>
      <c r="Q67" s="191"/>
      <c r="R67" s="189"/>
      <c r="S67" s="53" t="str">
        <f t="shared" si="1"/>
        <v/>
      </c>
      <c r="T67" s="63" t="str">
        <f t="shared" si="2"/>
        <v/>
      </c>
      <c r="U67" s="64" t="str">
        <f>IF(OR(ISBLANK(Trades!R67), ISBLANK(Trades!H67), ISBLANK(Trades!I67)), "", IF(Trades!H67=Trades!I67, "N/A", (Trades!R67-Trades!H67)/(Trades!H67-Trades!I67)))</f>
        <v/>
      </c>
      <c r="V67" s="65" t="str">
        <f t="shared" si="3"/>
        <v/>
      </c>
      <c r="W67" s="66" t="str">
        <f t="shared" si="4"/>
        <v/>
      </c>
      <c r="X67" s="62" t="str">
        <f t="shared" si="5"/>
        <v/>
      </c>
      <c r="Y67" s="45"/>
      <c r="Z67" s="44"/>
      <c r="AA67" s="41"/>
      <c r="AB67" s="39"/>
      <c r="AC67" s="37" t="str">
        <f t="shared" si="6"/>
        <v/>
      </c>
    </row>
    <row r="68" spans="2:29" x14ac:dyDescent="0.25">
      <c r="B68" s="54">
        <v>62</v>
      </c>
      <c r="C68" s="168"/>
      <c r="D68" s="51"/>
      <c r="E68" s="29"/>
      <c r="F68" s="48"/>
      <c r="G68" s="29"/>
      <c r="H68" s="187"/>
      <c r="I68" s="187"/>
      <c r="J68" s="195"/>
      <c r="K68" s="86" t="str">
        <f t="shared" si="0"/>
        <v/>
      </c>
      <c r="L68" s="57" t="str">
        <f t="shared" si="7"/>
        <v/>
      </c>
      <c r="M68" s="186"/>
      <c r="N68" s="189"/>
      <c r="O68" s="190"/>
      <c r="P68" s="190"/>
      <c r="Q68" s="191"/>
      <c r="R68" s="189"/>
      <c r="S68" s="53" t="str">
        <f t="shared" si="1"/>
        <v/>
      </c>
      <c r="T68" s="63" t="str">
        <f t="shared" si="2"/>
        <v/>
      </c>
      <c r="U68" s="64" t="str">
        <f>IF(OR(ISBLANK(Trades!R68), ISBLANK(Trades!H68), ISBLANK(Trades!I68)), "", IF(Trades!H68=Trades!I68, "N/A", (Trades!R68-Trades!H68)/(Trades!H68-Trades!I68)))</f>
        <v/>
      </c>
      <c r="V68" s="65" t="str">
        <f t="shared" si="3"/>
        <v/>
      </c>
      <c r="W68" s="66" t="str">
        <f t="shared" si="4"/>
        <v/>
      </c>
      <c r="X68" s="62" t="str">
        <f t="shared" si="5"/>
        <v/>
      </c>
      <c r="Y68" s="45"/>
      <c r="Z68" s="44"/>
      <c r="AA68" s="41"/>
      <c r="AB68" s="39"/>
      <c r="AC68" s="37" t="str">
        <f t="shared" si="6"/>
        <v/>
      </c>
    </row>
    <row r="69" spans="2:29" x14ac:dyDescent="0.25">
      <c r="B69" s="54">
        <v>63</v>
      </c>
      <c r="C69" s="168"/>
      <c r="D69" s="51"/>
      <c r="E69" s="29"/>
      <c r="F69" s="48"/>
      <c r="G69" s="29"/>
      <c r="H69" s="187"/>
      <c r="I69" s="187"/>
      <c r="J69" s="195"/>
      <c r="K69" s="86" t="str">
        <f t="shared" si="0"/>
        <v/>
      </c>
      <c r="L69" s="57" t="str">
        <f t="shared" si="7"/>
        <v/>
      </c>
      <c r="M69" s="186"/>
      <c r="N69" s="189"/>
      <c r="O69" s="190"/>
      <c r="P69" s="190"/>
      <c r="Q69" s="191"/>
      <c r="R69" s="189"/>
      <c r="S69" s="53" t="str">
        <f t="shared" si="1"/>
        <v/>
      </c>
      <c r="T69" s="63" t="str">
        <f t="shared" si="2"/>
        <v/>
      </c>
      <c r="U69" s="64" t="str">
        <f>IF(OR(ISBLANK(Trades!R69), ISBLANK(Trades!H69), ISBLANK(Trades!I69)), "", IF(Trades!H69=Trades!I69, "N/A", (Trades!R69-Trades!H69)/(Trades!H69-Trades!I69)))</f>
        <v/>
      </c>
      <c r="V69" s="65" t="str">
        <f t="shared" si="3"/>
        <v/>
      </c>
      <c r="W69" s="66" t="str">
        <f t="shared" si="4"/>
        <v/>
      </c>
      <c r="X69" s="62" t="str">
        <f t="shared" si="5"/>
        <v/>
      </c>
      <c r="Y69" s="45"/>
      <c r="Z69" s="44"/>
      <c r="AA69" s="41"/>
      <c r="AB69" s="39"/>
      <c r="AC69" s="37" t="str">
        <f t="shared" si="6"/>
        <v/>
      </c>
    </row>
    <row r="70" spans="2:29" x14ac:dyDescent="0.25">
      <c r="B70" s="54">
        <v>64</v>
      </c>
      <c r="C70" s="168"/>
      <c r="D70" s="51"/>
      <c r="E70" s="29"/>
      <c r="F70" s="48"/>
      <c r="G70" s="29"/>
      <c r="H70" s="187"/>
      <c r="I70" s="187"/>
      <c r="J70" s="195"/>
      <c r="K70" s="86" t="str">
        <f t="shared" si="0"/>
        <v/>
      </c>
      <c r="L70" s="57" t="str">
        <f t="shared" si="7"/>
        <v/>
      </c>
      <c r="M70" s="186"/>
      <c r="N70" s="189"/>
      <c r="O70" s="190"/>
      <c r="P70" s="190"/>
      <c r="Q70" s="191"/>
      <c r="R70" s="189"/>
      <c r="S70" s="53" t="str">
        <f t="shared" si="1"/>
        <v/>
      </c>
      <c r="T70" s="63" t="str">
        <f t="shared" si="2"/>
        <v/>
      </c>
      <c r="U70" s="64" t="str">
        <f>IF(OR(ISBLANK(Trades!R70), ISBLANK(Trades!H70), ISBLANK(Trades!I70)), "", IF(Trades!H70=Trades!I70, "N/A", (Trades!R70-Trades!H70)/(Trades!H70-Trades!I70)))</f>
        <v/>
      </c>
      <c r="V70" s="65" t="str">
        <f t="shared" si="3"/>
        <v/>
      </c>
      <c r="W70" s="66" t="str">
        <f t="shared" si="4"/>
        <v/>
      </c>
      <c r="X70" s="62" t="str">
        <f t="shared" si="5"/>
        <v/>
      </c>
      <c r="Y70" s="45"/>
      <c r="Z70" s="44"/>
      <c r="AA70" s="41"/>
      <c r="AB70" s="39"/>
      <c r="AC70" s="37" t="str">
        <f t="shared" si="6"/>
        <v/>
      </c>
    </row>
    <row r="71" spans="2:29" x14ac:dyDescent="0.25">
      <c r="B71" s="54">
        <v>65</v>
      </c>
      <c r="C71" s="168"/>
      <c r="D71" s="51"/>
      <c r="E71" s="29"/>
      <c r="F71" s="48"/>
      <c r="G71" s="29"/>
      <c r="H71" s="187"/>
      <c r="I71" s="187"/>
      <c r="J71" s="195"/>
      <c r="K71" s="86" t="str">
        <f t="shared" ref="K71:K134" si="8">IF(OR(ISBLANK(H71),ISBLANK(I71)),"",IF(H71 &lt; I71, "SHORT", IF(H71 &gt; I71, "LONG", "")))</f>
        <v/>
      </c>
      <c r="L71" s="57" t="str">
        <f t="shared" si="7"/>
        <v/>
      </c>
      <c r="M71" s="186"/>
      <c r="N71" s="189"/>
      <c r="O71" s="190"/>
      <c r="P71" s="190"/>
      <c r="Q71" s="191"/>
      <c r="R71" s="189"/>
      <c r="S71" s="53" t="str">
        <f t="shared" ref="S71:S134" si="9">IF(COUNTIFS($C$7:$C$1000, "&lt;="&amp;C71, $X$7:$X$1000, "Win") = 0, "", IF(COUNTIFS($C$7:$C$1000, "&lt;="&amp;C71, $X$7:$X$1000, "&lt;&gt;"&amp;"") = 0, "", COUNTIFS($C$7:$C$1000, "&lt;="&amp;C71, $X$7:$X$1000, "Win")/COUNTIFS($C$7:$C$1000, "&lt;="&amp;C71, $X$7:$X$1000, "&lt;&gt;"&amp;"")))</f>
        <v/>
      </c>
      <c r="T71" s="63" t="str">
        <f t="shared" ref="T71:T134" si="10">IF(ISBLANK(R71),IF(ISBLANK(H71),"","Open"),"Closed")</f>
        <v/>
      </c>
      <c r="U71" s="64" t="str">
        <f>IF(OR(ISBLANK(Trades!R71), ISBLANK(Trades!H71), ISBLANK(Trades!I71)), "", IF(Trades!H71=Trades!I71, "N/A", (Trades!R71-Trades!H71)/(Trades!H71-Trades!I71)))</f>
        <v/>
      </c>
      <c r="V71" s="65" t="str">
        <f t="shared" ref="V71:V134" si="11">IF(U71="","",U71*F71)</f>
        <v/>
      </c>
      <c r="W71" s="66" t="str">
        <f t="shared" ref="W71:W134" si="12">IF(ISBLANK(R71),"",IF(H71&gt;I71,IF(I71&gt;=R71,"SL Hit",IF(O71&lt;&gt;"","PT3 Hit",IF(N71&lt;&gt;"","PT2 Hit",IF(M71&lt;&gt;"","PT1 Hit","")))),IF(I71&lt;=R71,"SL Hit",IF(O71&lt;&gt;"","PT3 Hit",IF(N71&lt;&gt;"","PT2 Hit",IF(M71&lt;&gt;"","PT1 Hit",""))))))</f>
        <v/>
      </c>
      <c r="X71" s="62" t="str">
        <f t="shared" ref="X71:X134" si="13">IF(ISBLANK(R71),"",IF(H71&gt;I71, IF(R71&gt;=H71, "Win", "Loss"), IF(R71&lt;=H71, "Win", "Loss")))</f>
        <v/>
      </c>
      <c r="Y71" s="45"/>
      <c r="Z71" s="44"/>
      <c r="AA71" s="41"/>
      <c r="AB71" s="39"/>
      <c r="AC71" s="37" t="str">
        <f t="shared" ref="AC71:AC134" si="14">IFERROR(COUNTIFS($C$7:$C$1000,"&gt;="&amp;DATE(YEAR(C71),MONTH(C71),1),$C$7:$C$1000,"&lt;="&amp;EOMONTH(C71,0),$X$7:$X$1000,"Win")/COUNTIFS($C$7:$C$1000,"&gt;="&amp;DATE(YEAR(C71),MONTH(C71),1),$C$7:$C$1000,"&lt;="&amp;EOMONTH(C71,0)),"")</f>
        <v/>
      </c>
    </row>
    <row r="72" spans="2:29" x14ac:dyDescent="0.25">
      <c r="B72" s="54">
        <v>66</v>
      </c>
      <c r="C72" s="168"/>
      <c r="D72" s="51"/>
      <c r="E72" s="29"/>
      <c r="F72" s="48"/>
      <c r="G72" s="29"/>
      <c r="H72" s="187"/>
      <c r="I72" s="187"/>
      <c r="J72" s="195"/>
      <c r="K72" s="86" t="str">
        <f t="shared" si="8"/>
        <v/>
      </c>
      <c r="L72" s="57" t="str">
        <f t="shared" si="7"/>
        <v/>
      </c>
      <c r="M72" s="186"/>
      <c r="N72" s="189"/>
      <c r="O72" s="190"/>
      <c r="P72" s="190"/>
      <c r="Q72" s="191"/>
      <c r="R72" s="189"/>
      <c r="S72" s="53" t="str">
        <f t="shared" si="9"/>
        <v/>
      </c>
      <c r="T72" s="63" t="str">
        <f t="shared" si="10"/>
        <v/>
      </c>
      <c r="U72" s="64" t="str">
        <f>IF(OR(ISBLANK(Trades!R72), ISBLANK(Trades!H72), ISBLANK(Trades!I72)), "", IF(Trades!H72=Trades!I72, "N/A", (Trades!R72-Trades!H72)/(Trades!H72-Trades!I72)))</f>
        <v/>
      </c>
      <c r="V72" s="65" t="str">
        <f t="shared" si="11"/>
        <v/>
      </c>
      <c r="W72" s="66" t="str">
        <f t="shared" si="12"/>
        <v/>
      </c>
      <c r="X72" s="62" t="str">
        <f t="shared" si="13"/>
        <v/>
      </c>
      <c r="Y72" s="45"/>
      <c r="Z72" s="44"/>
      <c r="AA72" s="41"/>
      <c r="AB72" s="39"/>
      <c r="AC72" s="37" t="str">
        <f t="shared" si="14"/>
        <v/>
      </c>
    </row>
    <row r="73" spans="2:29" x14ac:dyDescent="0.25">
      <c r="B73" s="54">
        <v>67</v>
      </c>
      <c r="C73" s="168"/>
      <c r="D73" s="51"/>
      <c r="E73" s="29"/>
      <c r="F73" s="48"/>
      <c r="G73" s="29"/>
      <c r="H73" s="187"/>
      <c r="I73" s="187"/>
      <c r="J73" s="195"/>
      <c r="K73" s="86" t="str">
        <f t="shared" si="8"/>
        <v/>
      </c>
      <c r="L73" s="57" t="str">
        <f t="shared" si="7"/>
        <v/>
      </c>
      <c r="M73" s="186"/>
      <c r="N73" s="189"/>
      <c r="O73" s="190"/>
      <c r="P73" s="190"/>
      <c r="Q73" s="191"/>
      <c r="R73" s="189"/>
      <c r="S73" s="53" t="str">
        <f t="shared" si="9"/>
        <v/>
      </c>
      <c r="T73" s="63" t="str">
        <f t="shared" si="10"/>
        <v/>
      </c>
      <c r="U73" s="64" t="str">
        <f>IF(OR(ISBLANK(Trades!R73), ISBLANK(Trades!H73), ISBLANK(Trades!I73)), "", IF(Trades!H73=Trades!I73, "N/A", (Trades!R73-Trades!H73)/(Trades!H73-Trades!I73)))</f>
        <v/>
      </c>
      <c r="V73" s="65" t="str">
        <f t="shared" si="11"/>
        <v/>
      </c>
      <c r="W73" s="66" t="str">
        <f t="shared" si="12"/>
        <v/>
      </c>
      <c r="X73" s="62" t="str">
        <f t="shared" si="13"/>
        <v/>
      </c>
      <c r="Y73" s="45"/>
      <c r="Z73" s="44"/>
      <c r="AA73" s="41"/>
      <c r="AB73" s="39"/>
      <c r="AC73" s="37" t="str">
        <f t="shared" si="14"/>
        <v/>
      </c>
    </row>
    <row r="74" spans="2:29" x14ac:dyDescent="0.25">
      <c r="B74" s="54">
        <v>68</v>
      </c>
      <c r="C74" s="168"/>
      <c r="D74" s="51"/>
      <c r="E74" s="29"/>
      <c r="F74" s="48"/>
      <c r="G74" s="29"/>
      <c r="H74" s="187"/>
      <c r="I74" s="187"/>
      <c r="J74" s="195"/>
      <c r="K74" s="86" t="str">
        <f t="shared" si="8"/>
        <v/>
      </c>
      <c r="L74" s="57" t="str">
        <f t="shared" si="7"/>
        <v/>
      </c>
      <c r="M74" s="186"/>
      <c r="N74" s="189"/>
      <c r="O74" s="190"/>
      <c r="P74" s="190"/>
      <c r="Q74" s="191"/>
      <c r="R74" s="189"/>
      <c r="S74" s="53" t="str">
        <f t="shared" si="9"/>
        <v/>
      </c>
      <c r="T74" s="63" t="str">
        <f t="shared" si="10"/>
        <v/>
      </c>
      <c r="U74" s="64" t="str">
        <f>IF(OR(ISBLANK(Trades!R74), ISBLANK(Trades!H74), ISBLANK(Trades!I74)), "", IF(Trades!H74=Trades!I74, "N/A", (Trades!R74-Trades!H74)/(Trades!H74-Trades!I74)))</f>
        <v/>
      </c>
      <c r="V74" s="65" t="str">
        <f t="shared" si="11"/>
        <v/>
      </c>
      <c r="W74" s="66" t="str">
        <f t="shared" si="12"/>
        <v/>
      </c>
      <c r="X74" s="62" t="str">
        <f t="shared" si="13"/>
        <v/>
      </c>
      <c r="Y74" s="45"/>
      <c r="Z74" s="44"/>
      <c r="AA74" s="41"/>
      <c r="AB74" s="39"/>
      <c r="AC74" s="37" t="str">
        <f t="shared" si="14"/>
        <v/>
      </c>
    </row>
    <row r="75" spans="2:29" x14ac:dyDescent="0.25">
      <c r="B75" s="54">
        <v>69</v>
      </c>
      <c r="C75" s="168"/>
      <c r="D75" s="51"/>
      <c r="E75" s="29"/>
      <c r="F75" s="48"/>
      <c r="G75" s="29"/>
      <c r="H75" s="187"/>
      <c r="I75" s="187"/>
      <c r="J75" s="195"/>
      <c r="K75" s="86" t="str">
        <f t="shared" si="8"/>
        <v/>
      </c>
      <c r="L75" s="57" t="str">
        <f t="shared" si="7"/>
        <v/>
      </c>
      <c r="M75" s="186"/>
      <c r="N75" s="189"/>
      <c r="O75" s="190"/>
      <c r="P75" s="190"/>
      <c r="Q75" s="191"/>
      <c r="R75" s="189"/>
      <c r="S75" s="53" t="str">
        <f t="shared" si="9"/>
        <v/>
      </c>
      <c r="T75" s="63" t="str">
        <f t="shared" si="10"/>
        <v/>
      </c>
      <c r="U75" s="64" t="str">
        <f>IF(OR(ISBLANK(Trades!R75), ISBLANK(Trades!H75), ISBLANK(Trades!I75)), "", IF(Trades!H75=Trades!I75, "N/A", (Trades!R75-Trades!H75)/(Trades!H75-Trades!I75)))</f>
        <v/>
      </c>
      <c r="V75" s="65" t="str">
        <f t="shared" si="11"/>
        <v/>
      </c>
      <c r="W75" s="66" t="str">
        <f t="shared" si="12"/>
        <v/>
      </c>
      <c r="X75" s="62" t="str">
        <f t="shared" si="13"/>
        <v/>
      </c>
      <c r="Y75" s="45"/>
      <c r="Z75" s="44"/>
      <c r="AA75" s="41"/>
      <c r="AB75" s="39"/>
      <c r="AC75" s="37" t="str">
        <f t="shared" si="14"/>
        <v/>
      </c>
    </row>
    <row r="76" spans="2:29" x14ac:dyDescent="0.25">
      <c r="B76" s="54">
        <v>70</v>
      </c>
      <c r="C76" s="168"/>
      <c r="D76" s="51"/>
      <c r="E76" s="29"/>
      <c r="F76" s="48"/>
      <c r="G76" s="29"/>
      <c r="H76" s="187"/>
      <c r="I76" s="187"/>
      <c r="J76" s="195"/>
      <c r="K76" s="86" t="str">
        <f t="shared" si="8"/>
        <v/>
      </c>
      <c r="L76" s="57" t="str">
        <f t="shared" ref="L76:L139" si="15">IF(OR(ISBLANK(J76),ISBLANK(H76),ISBLANK(I76)),"",ABS(J76-H76)/ABS(H76-I76))</f>
        <v/>
      </c>
      <c r="M76" s="186"/>
      <c r="N76" s="189"/>
      <c r="O76" s="190"/>
      <c r="P76" s="190"/>
      <c r="Q76" s="191"/>
      <c r="R76" s="189"/>
      <c r="S76" s="53" t="str">
        <f t="shared" si="9"/>
        <v/>
      </c>
      <c r="T76" s="63" t="str">
        <f t="shared" si="10"/>
        <v/>
      </c>
      <c r="U76" s="64" t="str">
        <f>IF(OR(ISBLANK(Trades!R76), ISBLANK(Trades!H76), ISBLANK(Trades!I76)), "", IF(Trades!H76=Trades!I76, "N/A", (Trades!R76-Trades!H76)/(Trades!H76-Trades!I76)))</f>
        <v/>
      </c>
      <c r="V76" s="65" t="str">
        <f t="shared" si="11"/>
        <v/>
      </c>
      <c r="W76" s="66" t="str">
        <f t="shared" si="12"/>
        <v/>
      </c>
      <c r="X76" s="62" t="str">
        <f t="shared" si="13"/>
        <v/>
      </c>
      <c r="Y76" s="45"/>
      <c r="Z76" s="44"/>
      <c r="AA76" s="41"/>
      <c r="AB76" s="39"/>
      <c r="AC76" s="37" t="str">
        <f t="shared" si="14"/>
        <v/>
      </c>
    </row>
    <row r="77" spans="2:29" x14ac:dyDescent="0.25">
      <c r="B77" s="54">
        <v>71</v>
      </c>
      <c r="C77" s="168"/>
      <c r="D77" s="51"/>
      <c r="E77" s="29"/>
      <c r="F77" s="48"/>
      <c r="G77" s="29"/>
      <c r="H77" s="187"/>
      <c r="I77" s="187"/>
      <c r="J77" s="195"/>
      <c r="K77" s="86" t="str">
        <f t="shared" si="8"/>
        <v/>
      </c>
      <c r="L77" s="57" t="str">
        <f t="shared" si="15"/>
        <v/>
      </c>
      <c r="M77" s="186"/>
      <c r="N77" s="189"/>
      <c r="O77" s="190"/>
      <c r="P77" s="190"/>
      <c r="Q77" s="191"/>
      <c r="R77" s="189"/>
      <c r="S77" s="53" t="str">
        <f t="shared" si="9"/>
        <v/>
      </c>
      <c r="T77" s="63" t="str">
        <f t="shared" si="10"/>
        <v/>
      </c>
      <c r="U77" s="64" t="str">
        <f>IF(OR(ISBLANK(Trades!R77), ISBLANK(Trades!H77), ISBLANK(Trades!I77)), "", IF(Trades!H77=Trades!I77, "N/A", (Trades!R77-Trades!H77)/(Trades!H77-Trades!I77)))</f>
        <v/>
      </c>
      <c r="V77" s="65" t="str">
        <f t="shared" si="11"/>
        <v/>
      </c>
      <c r="W77" s="66" t="str">
        <f t="shared" si="12"/>
        <v/>
      </c>
      <c r="X77" s="62" t="str">
        <f t="shared" si="13"/>
        <v/>
      </c>
      <c r="Y77" s="45"/>
      <c r="Z77" s="44"/>
      <c r="AA77" s="41"/>
      <c r="AB77" s="39"/>
      <c r="AC77" s="37" t="str">
        <f t="shared" si="14"/>
        <v/>
      </c>
    </row>
    <row r="78" spans="2:29" x14ac:dyDescent="0.25">
      <c r="B78" s="54">
        <v>72</v>
      </c>
      <c r="C78" s="168"/>
      <c r="D78" s="51"/>
      <c r="E78" s="29"/>
      <c r="F78" s="48"/>
      <c r="G78" s="29"/>
      <c r="H78" s="187"/>
      <c r="I78" s="187"/>
      <c r="J78" s="195"/>
      <c r="K78" s="86" t="str">
        <f t="shared" si="8"/>
        <v/>
      </c>
      <c r="L78" s="57" t="str">
        <f t="shared" si="15"/>
        <v/>
      </c>
      <c r="M78" s="186"/>
      <c r="N78" s="189"/>
      <c r="O78" s="190"/>
      <c r="P78" s="190"/>
      <c r="Q78" s="191"/>
      <c r="R78" s="189"/>
      <c r="S78" s="53" t="str">
        <f t="shared" si="9"/>
        <v/>
      </c>
      <c r="T78" s="63" t="str">
        <f t="shared" si="10"/>
        <v/>
      </c>
      <c r="U78" s="64" t="str">
        <f>IF(OR(ISBLANK(Trades!R78), ISBLANK(Trades!H78), ISBLANK(Trades!I78)), "", IF(Trades!H78=Trades!I78, "N/A", (Trades!R78-Trades!H78)/(Trades!H78-Trades!I78)))</f>
        <v/>
      </c>
      <c r="V78" s="65" t="str">
        <f t="shared" si="11"/>
        <v/>
      </c>
      <c r="W78" s="66" t="str">
        <f t="shared" si="12"/>
        <v/>
      </c>
      <c r="X78" s="62" t="str">
        <f t="shared" si="13"/>
        <v/>
      </c>
      <c r="Y78" s="45"/>
      <c r="Z78" s="44"/>
      <c r="AA78" s="41"/>
      <c r="AB78" s="39"/>
      <c r="AC78" s="37" t="str">
        <f t="shared" si="14"/>
        <v/>
      </c>
    </row>
    <row r="79" spans="2:29" x14ac:dyDescent="0.25">
      <c r="B79" s="54">
        <v>73</v>
      </c>
      <c r="C79" s="168"/>
      <c r="D79" s="51"/>
      <c r="E79" s="29"/>
      <c r="F79" s="48"/>
      <c r="G79" s="29"/>
      <c r="H79" s="187"/>
      <c r="I79" s="187"/>
      <c r="J79" s="195"/>
      <c r="K79" s="86" t="str">
        <f t="shared" si="8"/>
        <v/>
      </c>
      <c r="L79" s="57" t="str">
        <f t="shared" si="15"/>
        <v/>
      </c>
      <c r="M79" s="186"/>
      <c r="N79" s="189"/>
      <c r="O79" s="190"/>
      <c r="P79" s="190"/>
      <c r="Q79" s="191"/>
      <c r="R79" s="189"/>
      <c r="S79" s="53" t="str">
        <f t="shared" si="9"/>
        <v/>
      </c>
      <c r="T79" s="63" t="str">
        <f t="shared" si="10"/>
        <v/>
      </c>
      <c r="U79" s="64" t="str">
        <f>IF(OR(ISBLANK(Trades!R79), ISBLANK(Trades!H79), ISBLANK(Trades!I79)), "", IF(Trades!H79=Trades!I79, "N/A", (Trades!R79-Trades!H79)/(Trades!H79-Trades!I79)))</f>
        <v/>
      </c>
      <c r="V79" s="65" t="str">
        <f t="shared" si="11"/>
        <v/>
      </c>
      <c r="W79" s="66" t="str">
        <f t="shared" si="12"/>
        <v/>
      </c>
      <c r="X79" s="62" t="str">
        <f t="shared" si="13"/>
        <v/>
      </c>
      <c r="Y79" s="45"/>
      <c r="Z79" s="44"/>
      <c r="AA79" s="41"/>
      <c r="AB79" s="39"/>
      <c r="AC79" s="37" t="str">
        <f t="shared" si="14"/>
        <v/>
      </c>
    </row>
    <row r="80" spans="2:29" x14ac:dyDescent="0.25">
      <c r="B80" s="54">
        <v>74</v>
      </c>
      <c r="C80" s="168"/>
      <c r="D80" s="51"/>
      <c r="E80" s="29"/>
      <c r="F80" s="48"/>
      <c r="G80" s="29"/>
      <c r="H80" s="187"/>
      <c r="I80" s="187"/>
      <c r="J80" s="195"/>
      <c r="K80" s="86" t="str">
        <f t="shared" si="8"/>
        <v/>
      </c>
      <c r="L80" s="57" t="str">
        <f t="shared" si="15"/>
        <v/>
      </c>
      <c r="M80" s="186"/>
      <c r="N80" s="189"/>
      <c r="O80" s="190"/>
      <c r="P80" s="190"/>
      <c r="Q80" s="191"/>
      <c r="R80" s="189"/>
      <c r="S80" s="53" t="str">
        <f t="shared" si="9"/>
        <v/>
      </c>
      <c r="T80" s="63" t="str">
        <f t="shared" si="10"/>
        <v/>
      </c>
      <c r="U80" s="64" t="str">
        <f>IF(OR(ISBLANK(Trades!R80), ISBLANK(Trades!H80), ISBLANK(Trades!I80)), "", IF(Trades!H80=Trades!I80, "N/A", (Trades!R80-Trades!H80)/(Trades!H80-Trades!I80)))</f>
        <v/>
      </c>
      <c r="V80" s="65" t="str">
        <f t="shared" si="11"/>
        <v/>
      </c>
      <c r="W80" s="66" t="str">
        <f t="shared" si="12"/>
        <v/>
      </c>
      <c r="X80" s="62" t="str">
        <f t="shared" si="13"/>
        <v/>
      </c>
      <c r="Y80" s="45"/>
      <c r="Z80" s="44"/>
      <c r="AA80" s="41"/>
      <c r="AB80" s="39"/>
      <c r="AC80" s="37" t="str">
        <f t="shared" si="14"/>
        <v/>
      </c>
    </row>
    <row r="81" spans="2:29" x14ac:dyDescent="0.25">
      <c r="B81" s="54">
        <v>75</v>
      </c>
      <c r="C81" s="168"/>
      <c r="D81" s="51"/>
      <c r="E81" s="29"/>
      <c r="F81" s="48"/>
      <c r="G81" s="29"/>
      <c r="H81" s="187"/>
      <c r="I81" s="187"/>
      <c r="J81" s="195"/>
      <c r="K81" s="86" t="str">
        <f t="shared" si="8"/>
        <v/>
      </c>
      <c r="L81" s="57" t="str">
        <f t="shared" si="15"/>
        <v/>
      </c>
      <c r="M81" s="186"/>
      <c r="N81" s="189"/>
      <c r="O81" s="190"/>
      <c r="P81" s="190"/>
      <c r="Q81" s="191"/>
      <c r="R81" s="189"/>
      <c r="S81" s="53" t="str">
        <f t="shared" si="9"/>
        <v/>
      </c>
      <c r="T81" s="63" t="str">
        <f t="shared" si="10"/>
        <v/>
      </c>
      <c r="U81" s="64" t="str">
        <f>IF(OR(ISBLANK(Trades!R81), ISBLANK(Trades!H81), ISBLANK(Trades!I81)), "", IF(Trades!H81=Trades!I81, "N/A", (Trades!R81-Trades!H81)/(Trades!H81-Trades!I81)))</f>
        <v/>
      </c>
      <c r="V81" s="65" t="str">
        <f t="shared" si="11"/>
        <v/>
      </c>
      <c r="W81" s="66" t="str">
        <f t="shared" si="12"/>
        <v/>
      </c>
      <c r="X81" s="62" t="str">
        <f t="shared" si="13"/>
        <v/>
      </c>
      <c r="Y81" s="45"/>
      <c r="Z81" s="44"/>
      <c r="AA81" s="41"/>
      <c r="AB81" s="39"/>
      <c r="AC81" s="37" t="str">
        <f t="shared" si="14"/>
        <v/>
      </c>
    </row>
    <row r="82" spans="2:29" x14ac:dyDescent="0.25">
      <c r="B82" s="54">
        <v>76</v>
      </c>
      <c r="C82" s="168"/>
      <c r="D82" s="51"/>
      <c r="E82" s="29"/>
      <c r="F82" s="48"/>
      <c r="G82" s="29"/>
      <c r="H82" s="187"/>
      <c r="I82" s="187"/>
      <c r="J82" s="195"/>
      <c r="K82" s="86" t="str">
        <f t="shared" si="8"/>
        <v/>
      </c>
      <c r="L82" s="57" t="str">
        <f t="shared" si="15"/>
        <v/>
      </c>
      <c r="M82" s="186"/>
      <c r="N82" s="189"/>
      <c r="O82" s="190"/>
      <c r="P82" s="190"/>
      <c r="Q82" s="191"/>
      <c r="R82" s="189"/>
      <c r="S82" s="53" t="str">
        <f t="shared" si="9"/>
        <v/>
      </c>
      <c r="T82" s="63" t="str">
        <f t="shared" si="10"/>
        <v/>
      </c>
      <c r="U82" s="64" t="str">
        <f>IF(OR(ISBLANK(Trades!R82), ISBLANK(Trades!H82), ISBLANK(Trades!I82)), "", IF(Trades!H82=Trades!I82, "N/A", (Trades!R82-Trades!H82)/(Trades!H82-Trades!I82)))</f>
        <v/>
      </c>
      <c r="V82" s="65" t="str">
        <f t="shared" si="11"/>
        <v/>
      </c>
      <c r="W82" s="66" t="str">
        <f t="shared" si="12"/>
        <v/>
      </c>
      <c r="X82" s="62" t="str">
        <f t="shared" si="13"/>
        <v/>
      </c>
      <c r="Y82" s="45"/>
      <c r="Z82" s="44"/>
      <c r="AA82" s="41"/>
      <c r="AB82" s="39"/>
      <c r="AC82" s="37" t="str">
        <f t="shared" si="14"/>
        <v/>
      </c>
    </row>
    <row r="83" spans="2:29" x14ac:dyDescent="0.25">
      <c r="B83" s="54">
        <v>77</v>
      </c>
      <c r="C83" s="168"/>
      <c r="D83" s="51"/>
      <c r="E83" s="29"/>
      <c r="F83" s="48"/>
      <c r="G83" s="29"/>
      <c r="H83" s="187"/>
      <c r="I83" s="187"/>
      <c r="J83" s="195"/>
      <c r="K83" s="86" t="str">
        <f t="shared" si="8"/>
        <v/>
      </c>
      <c r="L83" s="57" t="str">
        <f t="shared" si="15"/>
        <v/>
      </c>
      <c r="M83" s="186"/>
      <c r="N83" s="189"/>
      <c r="O83" s="190"/>
      <c r="P83" s="190"/>
      <c r="Q83" s="191"/>
      <c r="R83" s="189"/>
      <c r="S83" s="53" t="str">
        <f t="shared" si="9"/>
        <v/>
      </c>
      <c r="T83" s="63" t="str">
        <f t="shared" si="10"/>
        <v/>
      </c>
      <c r="U83" s="64" t="str">
        <f>IF(OR(ISBLANK(Trades!R83), ISBLANK(Trades!H83), ISBLANK(Trades!I83)), "", IF(Trades!H83=Trades!I83, "N/A", (Trades!R83-Trades!H83)/(Trades!H83-Trades!I83)))</f>
        <v/>
      </c>
      <c r="V83" s="65" t="str">
        <f t="shared" si="11"/>
        <v/>
      </c>
      <c r="W83" s="66" t="str">
        <f t="shared" si="12"/>
        <v/>
      </c>
      <c r="X83" s="62" t="str">
        <f t="shared" si="13"/>
        <v/>
      </c>
      <c r="Y83" s="45"/>
      <c r="Z83" s="44"/>
      <c r="AA83" s="41"/>
      <c r="AB83" s="39"/>
      <c r="AC83" s="37" t="str">
        <f t="shared" si="14"/>
        <v/>
      </c>
    </row>
    <row r="84" spans="2:29" x14ac:dyDescent="0.25">
      <c r="B84" s="54">
        <v>78</v>
      </c>
      <c r="C84" s="168"/>
      <c r="D84" s="51"/>
      <c r="E84" s="29"/>
      <c r="F84" s="48"/>
      <c r="G84" s="29"/>
      <c r="H84" s="187"/>
      <c r="I84" s="187"/>
      <c r="J84" s="195"/>
      <c r="K84" s="86" t="str">
        <f t="shared" si="8"/>
        <v/>
      </c>
      <c r="L84" s="57" t="str">
        <f t="shared" si="15"/>
        <v/>
      </c>
      <c r="M84" s="186"/>
      <c r="N84" s="189"/>
      <c r="O84" s="190"/>
      <c r="P84" s="190"/>
      <c r="Q84" s="191"/>
      <c r="R84" s="189"/>
      <c r="S84" s="53" t="str">
        <f t="shared" si="9"/>
        <v/>
      </c>
      <c r="T84" s="63" t="str">
        <f t="shared" si="10"/>
        <v/>
      </c>
      <c r="U84" s="64" t="str">
        <f>IF(OR(ISBLANK(Trades!R84), ISBLANK(Trades!H84), ISBLANK(Trades!I84)), "", IF(Trades!H84=Trades!I84, "N/A", (Trades!R84-Trades!H84)/(Trades!H84-Trades!I84)))</f>
        <v/>
      </c>
      <c r="V84" s="65" t="str">
        <f t="shared" si="11"/>
        <v/>
      </c>
      <c r="W84" s="66" t="str">
        <f t="shared" si="12"/>
        <v/>
      </c>
      <c r="X84" s="62" t="str">
        <f t="shared" si="13"/>
        <v/>
      </c>
      <c r="Y84" s="45"/>
      <c r="Z84" s="44"/>
      <c r="AA84" s="41"/>
      <c r="AB84" s="39"/>
      <c r="AC84" s="37" t="str">
        <f t="shared" si="14"/>
        <v/>
      </c>
    </row>
    <row r="85" spans="2:29" x14ac:dyDescent="0.25">
      <c r="B85" s="54">
        <v>79</v>
      </c>
      <c r="C85" s="168"/>
      <c r="D85" s="51"/>
      <c r="E85" s="29"/>
      <c r="F85" s="48"/>
      <c r="G85" s="29"/>
      <c r="H85" s="187"/>
      <c r="I85" s="187"/>
      <c r="J85" s="195"/>
      <c r="K85" s="86" t="str">
        <f t="shared" si="8"/>
        <v/>
      </c>
      <c r="L85" s="57" t="str">
        <f t="shared" si="15"/>
        <v/>
      </c>
      <c r="M85" s="186"/>
      <c r="N85" s="189"/>
      <c r="O85" s="190"/>
      <c r="P85" s="190"/>
      <c r="Q85" s="191"/>
      <c r="R85" s="189"/>
      <c r="S85" s="53" t="str">
        <f t="shared" si="9"/>
        <v/>
      </c>
      <c r="T85" s="63" t="str">
        <f t="shared" si="10"/>
        <v/>
      </c>
      <c r="U85" s="64" t="str">
        <f>IF(OR(ISBLANK(Trades!R85), ISBLANK(Trades!H85), ISBLANK(Trades!I85)), "", IF(Trades!H85=Trades!I85, "N/A", (Trades!R85-Trades!H85)/(Trades!H85-Trades!I85)))</f>
        <v/>
      </c>
      <c r="V85" s="65" t="str">
        <f t="shared" si="11"/>
        <v/>
      </c>
      <c r="W85" s="66" t="str">
        <f t="shared" si="12"/>
        <v/>
      </c>
      <c r="X85" s="62" t="str">
        <f t="shared" si="13"/>
        <v/>
      </c>
      <c r="Y85" s="45"/>
      <c r="Z85" s="44"/>
      <c r="AA85" s="41"/>
      <c r="AB85" s="39"/>
      <c r="AC85" s="37" t="str">
        <f t="shared" si="14"/>
        <v/>
      </c>
    </row>
    <row r="86" spans="2:29" x14ac:dyDescent="0.25">
      <c r="B86" s="54">
        <v>80</v>
      </c>
      <c r="C86" s="168"/>
      <c r="D86" s="51"/>
      <c r="E86" s="29"/>
      <c r="F86" s="48"/>
      <c r="G86" s="29"/>
      <c r="H86" s="187"/>
      <c r="I86" s="187"/>
      <c r="J86" s="195"/>
      <c r="K86" s="86" t="str">
        <f t="shared" si="8"/>
        <v/>
      </c>
      <c r="L86" s="57" t="str">
        <f t="shared" si="15"/>
        <v/>
      </c>
      <c r="M86" s="186"/>
      <c r="N86" s="189"/>
      <c r="O86" s="190"/>
      <c r="P86" s="190"/>
      <c r="Q86" s="191"/>
      <c r="R86" s="189"/>
      <c r="S86" s="53" t="str">
        <f t="shared" si="9"/>
        <v/>
      </c>
      <c r="T86" s="63" t="str">
        <f t="shared" si="10"/>
        <v/>
      </c>
      <c r="U86" s="64" t="str">
        <f>IF(OR(ISBLANK(Trades!R86), ISBLANK(Trades!H86), ISBLANK(Trades!I86)), "", IF(Trades!H86=Trades!I86, "N/A", (Trades!R86-Trades!H86)/(Trades!H86-Trades!I86)))</f>
        <v/>
      </c>
      <c r="V86" s="65" t="str">
        <f t="shared" si="11"/>
        <v/>
      </c>
      <c r="W86" s="66" t="str">
        <f t="shared" si="12"/>
        <v/>
      </c>
      <c r="X86" s="62" t="str">
        <f t="shared" si="13"/>
        <v/>
      </c>
      <c r="Y86" s="45"/>
      <c r="Z86" s="44"/>
      <c r="AA86" s="41"/>
      <c r="AB86" s="39"/>
      <c r="AC86" s="37" t="str">
        <f t="shared" si="14"/>
        <v/>
      </c>
    </row>
    <row r="87" spans="2:29" x14ac:dyDescent="0.25">
      <c r="B87" s="54">
        <v>81</v>
      </c>
      <c r="C87" s="168"/>
      <c r="D87" s="51"/>
      <c r="E87" s="29"/>
      <c r="F87" s="48"/>
      <c r="G87" s="29"/>
      <c r="H87" s="187"/>
      <c r="I87" s="187"/>
      <c r="J87" s="195"/>
      <c r="K87" s="86" t="str">
        <f t="shared" si="8"/>
        <v/>
      </c>
      <c r="L87" s="57" t="str">
        <f t="shared" si="15"/>
        <v/>
      </c>
      <c r="M87" s="186"/>
      <c r="N87" s="189"/>
      <c r="O87" s="190"/>
      <c r="P87" s="190"/>
      <c r="Q87" s="191"/>
      <c r="R87" s="189"/>
      <c r="S87" s="53" t="str">
        <f t="shared" si="9"/>
        <v/>
      </c>
      <c r="T87" s="63" t="str">
        <f t="shared" si="10"/>
        <v/>
      </c>
      <c r="U87" s="64" t="str">
        <f>IF(OR(ISBLANK(Trades!R87), ISBLANK(Trades!H87), ISBLANK(Trades!I87)), "", IF(Trades!H87=Trades!I87, "N/A", (Trades!R87-Trades!H87)/(Trades!H87-Trades!I87)))</f>
        <v/>
      </c>
      <c r="V87" s="65" t="str">
        <f t="shared" si="11"/>
        <v/>
      </c>
      <c r="W87" s="66" t="str">
        <f t="shared" si="12"/>
        <v/>
      </c>
      <c r="X87" s="62" t="str">
        <f t="shared" si="13"/>
        <v/>
      </c>
      <c r="Y87" s="45"/>
      <c r="Z87" s="44"/>
      <c r="AA87" s="41"/>
      <c r="AB87" s="39"/>
      <c r="AC87" s="37" t="str">
        <f t="shared" si="14"/>
        <v/>
      </c>
    </row>
    <row r="88" spans="2:29" x14ac:dyDescent="0.25">
      <c r="B88" s="54">
        <v>82</v>
      </c>
      <c r="C88" s="168"/>
      <c r="D88" s="51"/>
      <c r="E88" s="29"/>
      <c r="F88" s="48"/>
      <c r="G88" s="29"/>
      <c r="H88" s="187"/>
      <c r="I88" s="187"/>
      <c r="J88" s="195"/>
      <c r="K88" s="86" t="str">
        <f t="shared" si="8"/>
        <v/>
      </c>
      <c r="L88" s="57" t="str">
        <f t="shared" si="15"/>
        <v/>
      </c>
      <c r="M88" s="186"/>
      <c r="N88" s="189"/>
      <c r="O88" s="190"/>
      <c r="P88" s="190"/>
      <c r="Q88" s="191"/>
      <c r="R88" s="189"/>
      <c r="S88" s="53" t="str">
        <f t="shared" si="9"/>
        <v/>
      </c>
      <c r="T88" s="63" t="str">
        <f t="shared" si="10"/>
        <v/>
      </c>
      <c r="U88" s="64" t="str">
        <f>IF(OR(ISBLANK(Trades!R88), ISBLANK(Trades!H88), ISBLANK(Trades!I88)), "", IF(Trades!H88=Trades!I88, "N/A", (Trades!R88-Trades!H88)/(Trades!H88-Trades!I88)))</f>
        <v/>
      </c>
      <c r="V88" s="65" t="str">
        <f t="shared" si="11"/>
        <v/>
      </c>
      <c r="W88" s="66" t="str">
        <f t="shared" si="12"/>
        <v/>
      </c>
      <c r="X88" s="62" t="str">
        <f t="shared" si="13"/>
        <v/>
      </c>
      <c r="Y88" s="45"/>
      <c r="Z88" s="44"/>
      <c r="AA88" s="41"/>
      <c r="AB88" s="39"/>
      <c r="AC88" s="37" t="str">
        <f t="shared" si="14"/>
        <v/>
      </c>
    </row>
    <row r="89" spans="2:29" x14ac:dyDescent="0.25">
      <c r="B89" s="54">
        <v>83</v>
      </c>
      <c r="C89" s="168"/>
      <c r="D89" s="51"/>
      <c r="E89" s="29"/>
      <c r="F89" s="48"/>
      <c r="G89" s="29"/>
      <c r="H89" s="187"/>
      <c r="I89" s="187"/>
      <c r="J89" s="195"/>
      <c r="K89" s="86" t="str">
        <f t="shared" si="8"/>
        <v/>
      </c>
      <c r="L89" s="57" t="str">
        <f t="shared" si="15"/>
        <v/>
      </c>
      <c r="M89" s="186"/>
      <c r="N89" s="189"/>
      <c r="O89" s="190"/>
      <c r="P89" s="190"/>
      <c r="Q89" s="191"/>
      <c r="R89" s="189"/>
      <c r="S89" s="53" t="str">
        <f t="shared" si="9"/>
        <v/>
      </c>
      <c r="T89" s="63" t="str">
        <f t="shared" si="10"/>
        <v/>
      </c>
      <c r="U89" s="64" t="str">
        <f>IF(OR(ISBLANK(Trades!R89), ISBLANK(Trades!H89), ISBLANK(Trades!I89)), "", IF(Trades!H89=Trades!I89, "N/A", (Trades!R89-Trades!H89)/(Trades!H89-Trades!I89)))</f>
        <v/>
      </c>
      <c r="V89" s="65" t="str">
        <f t="shared" si="11"/>
        <v/>
      </c>
      <c r="W89" s="66" t="str">
        <f t="shared" si="12"/>
        <v/>
      </c>
      <c r="X89" s="62" t="str">
        <f t="shared" si="13"/>
        <v/>
      </c>
      <c r="Y89" s="45"/>
      <c r="Z89" s="44"/>
      <c r="AA89" s="41"/>
      <c r="AB89" s="39"/>
      <c r="AC89" s="37" t="str">
        <f t="shared" si="14"/>
        <v/>
      </c>
    </row>
    <row r="90" spans="2:29" x14ac:dyDescent="0.25">
      <c r="B90" s="54">
        <v>84</v>
      </c>
      <c r="C90" s="168"/>
      <c r="D90" s="51"/>
      <c r="E90" s="29"/>
      <c r="F90" s="48"/>
      <c r="G90" s="29"/>
      <c r="H90" s="187"/>
      <c r="I90" s="187"/>
      <c r="J90" s="195"/>
      <c r="K90" s="86" t="str">
        <f t="shared" si="8"/>
        <v/>
      </c>
      <c r="L90" s="57" t="str">
        <f t="shared" si="15"/>
        <v/>
      </c>
      <c r="M90" s="186"/>
      <c r="N90" s="189"/>
      <c r="O90" s="190"/>
      <c r="P90" s="190"/>
      <c r="Q90" s="191"/>
      <c r="R90" s="189"/>
      <c r="S90" s="53" t="str">
        <f t="shared" si="9"/>
        <v/>
      </c>
      <c r="T90" s="63" t="str">
        <f t="shared" si="10"/>
        <v/>
      </c>
      <c r="U90" s="64" t="str">
        <f>IF(OR(ISBLANK(Trades!R90), ISBLANK(Trades!H90), ISBLANK(Trades!I90)), "", IF(Trades!H90=Trades!I90, "N/A", (Trades!R90-Trades!H90)/(Trades!H90-Trades!I90)))</f>
        <v/>
      </c>
      <c r="V90" s="65" t="str">
        <f t="shared" si="11"/>
        <v/>
      </c>
      <c r="W90" s="66" t="str">
        <f t="shared" si="12"/>
        <v/>
      </c>
      <c r="X90" s="62" t="str">
        <f t="shared" si="13"/>
        <v/>
      </c>
      <c r="Y90" s="45"/>
      <c r="Z90" s="44"/>
      <c r="AA90" s="41"/>
      <c r="AB90" s="39"/>
      <c r="AC90" s="37" t="str">
        <f t="shared" si="14"/>
        <v/>
      </c>
    </row>
    <row r="91" spans="2:29" x14ac:dyDescent="0.25">
      <c r="B91" s="54">
        <v>85</v>
      </c>
      <c r="C91" s="168"/>
      <c r="D91" s="51"/>
      <c r="E91" s="29"/>
      <c r="F91" s="48"/>
      <c r="G91" s="29"/>
      <c r="H91" s="187"/>
      <c r="I91" s="187"/>
      <c r="J91" s="195"/>
      <c r="K91" s="86" t="str">
        <f t="shared" si="8"/>
        <v/>
      </c>
      <c r="L91" s="57" t="str">
        <f t="shared" si="15"/>
        <v/>
      </c>
      <c r="M91" s="186"/>
      <c r="N91" s="189"/>
      <c r="O91" s="190"/>
      <c r="P91" s="190"/>
      <c r="Q91" s="191"/>
      <c r="R91" s="189"/>
      <c r="S91" s="53" t="str">
        <f t="shared" si="9"/>
        <v/>
      </c>
      <c r="T91" s="63" t="str">
        <f t="shared" si="10"/>
        <v/>
      </c>
      <c r="U91" s="64" t="str">
        <f>IF(OR(ISBLANK(Trades!R91), ISBLANK(Trades!H91), ISBLANK(Trades!I91)), "", IF(Trades!H91=Trades!I91, "N/A", (Trades!R91-Trades!H91)/(Trades!H91-Trades!I91)))</f>
        <v/>
      </c>
      <c r="V91" s="65" t="str">
        <f t="shared" si="11"/>
        <v/>
      </c>
      <c r="W91" s="66" t="str">
        <f t="shared" si="12"/>
        <v/>
      </c>
      <c r="X91" s="62" t="str">
        <f t="shared" si="13"/>
        <v/>
      </c>
      <c r="Y91" s="45"/>
      <c r="Z91" s="44"/>
      <c r="AA91" s="41"/>
      <c r="AB91" s="39"/>
      <c r="AC91" s="37" t="str">
        <f t="shared" si="14"/>
        <v/>
      </c>
    </row>
    <row r="92" spans="2:29" x14ac:dyDescent="0.25">
      <c r="B92" s="54">
        <v>86</v>
      </c>
      <c r="C92" s="168"/>
      <c r="D92" s="51"/>
      <c r="E92" s="29"/>
      <c r="F92" s="48"/>
      <c r="G92" s="29"/>
      <c r="H92" s="187"/>
      <c r="I92" s="187"/>
      <c r="J92" s="195"/>
      <c r="K92" s="86" t="str">
        <f t="shared" si="8"/>
        <v/>
      </c>
      <c r="L92" s="57" t="str">
        <f t="shared" si="15"/>
        <v/>
      </c>
      <c r="M92" s="186"/>
      <c r="N92" s="189"/>
      <c r="O92" s="190"/>
      <c r="P92" s="190"/>
      <c r="Q92" s="191"/>
      <c r="R92" s="189"/>
      <c r="S92" s="53" t="str">
        <f t="shared" si="9"/>
        <v/>
      </c>
      <c r="T92" s="63" t="str">
        <f t="shared" si="10"/>
        <v/>
      </c>
      <c r="U92" s="64" t="str">
        <f>IF(OR(ISBLANK(Trades!R92), ISBLANK(Trades!H92), ISBLANK(Trades!I92)), "", IF(Trades!H92=Trades!I92, "N/A", (Trades!R92-Trades!H92)/(Trades!H92-Trades!I92)))</f>
        <v/>
      </c>
      <c r="V92" s="65" t="str">
        <f t="shared" si="11"/>
        <v/>
      </c>
      <c r="W92" s="66" t="str">
        <f t="shared" si="12"/>
        <v/>
      </c>
      <c r="X92" s="62" t="str">
        <f t="shared" si="13"/>
        <v/>
      </c>
      <c r="Y92" s="45"/>
      <c r="Z92" s="44"/>
      <c r="AA92" s="41"/>
      <c r="AB92" s="39"/>
      <c r="AC92" s="37" t="str">
        <f t="shared" si="14"/>
        <v/>
      </c>
    </row>
    <row r="93" spans="2:29" x14ac:dyDescent="0.25">
      <c r="B93" s="54">
        <v>87</v>
      </c>
      <c r="C93" s="168"/>
      <c r="D93" s="51"/>
      <c r="E93" s="29"/>
      <c r="F93" s="48"/>
      <c r="G93" s="29"/>
      <c r="H93" s="187"/>
      <c r="I93" s="187"/>
      <c r="J93" s="195"/>
      <c r="K93" s="86" t="str">
        <f t="shared" si="8"/>
        <v/>
      </c>
      <c r="L93" s="57" t="str">
        <f t="shared" si="15"/>
        <v/>
      </c>
      <c r="M93" s="186"/>
      <c r="N93" s="189"/>
      <c r="O93" s="190"/>
      <c r="P93" s="190"/>
      <c r="Q93" s="191"/>
      <c r="R93" s="189"/>
      <c r="S93" s="53" t="str">
        <f t="shared" si="9"/>
        <v/>
      </c>
      <c r="T93" s="63" t="str">
        <f t="shared" si="10"/>
        <v/>
      </c>
      <c r="U93" s="64" t="str">
        <f>IF(OR(ISBLANK(Trades!R93), ISBLANK(Trades!H93), ISBLANK(Trades!I93)), "", IF(Trades!H93=Trades!I93, "N/A", (Trades!R93-Trades!H93)/(Trades!H93-Trades!I93)))</f>
        <v/>
      </c>
      <c r="V93" s="65" t="str">
        <f t="shared" si="11"/>
        <v/>
      </c>
      <c r="W93" s="66" t="str">
        <f t="shared" si="12"/>
        <v/>
      </c>
      <c r="X93" s="62" t="str">
        <f t="shared" si="13"/>
        <v/>
      </c>
      <c r="Y93" s="45"/>
      <c r="Z93" s="44"/>
      <c r="AA93" s="41"/>
      <c r="AB93" s="39"/>
      <c r="AC93" s="37" t="str">
        <f t="shared" si="14"/>
        <v/>
      </c>
    </row>
    <row r="94" spans="2:29" x14ac:dyDescent="0.25">
      <c r="B94" s="54">
        <v>88</v>
      </c>
      <c r="C94" s="168"/>
      <c r="D94" s="51"/>
      <c r="E94" s="29"/>
      <c r="F94" s="48"/>
      <c r="G94" s="29"/>
      <c r="H94" s="187"/>
      <c r="I94" s="187"/>
      <c r="J94" s="195"/>
      <c r="K94" s="86" t="str">
        <f t="shared" si="8"/>
        <v/>
      </c>
      <c r="L94" s="57" t="str">
        <f t="shared" si="15"/>
        <v/>
      </c>
      <c r="M94" s="186"/>
      <c r="N94" s="189"/>
      <c r="O94" s="190"/>
      <c r="P94" s="190"/>
      <c r="Q94" s="191"/>
      <c r="R94" s="189"/>
      <c r="S94" s="53" t="str">
        <f t="shared" si="9"/>
        <v/>
      </c>
      <c r="T94" s="63" t="str">
        <f t="shared" si="10"/>
        <v/>
      </c>
      <c r="U94" s="64" t="str">
        <f>IF(OR(ISBLANK(Trades!R94), ISBLANK(Trades!H94), ISBLANK(Trades!I94)), "", IF(Trades!H94=Trades!I94, "N/A", (Trades!R94-Trades!H94)/(Trades!H94-Trades!I94)))</f>
        <v/>
      </c>
      <c r="V94" s="65" t="str">
        <f t="shared" si="11"/>
        <v/>
      </c>
      <c r="W94" s="66" t="str">
        <f t="shared" si="12"/>
        <v/>
      </c>
      <c r="X94" s="62" t="str">
        <f t="shared" si="13"/>
        <v/>
      </c>
      <c r="Y94" s="45"/>
      <c r="Z94" s="44"/>
      <c r="AA94" s="41"/>
      <c r="AB94" s="39"/>
      <c r="AC94" s="37" t="str">
        <f t="shared" si="14"/>
        <v/>
      </c>
    </row>
    <row r="95" spans="2:29" x14ac:dyDescent="0.25">
      <c r="B95" s="54">
        <v>89</v>
      </c>
      <c r="C95" s="168"/>
      <c r="D95" s="51"/>
      <c r="E95" s="29"/>
      <c r="F95" s="48"/>
      <c r="G95" s="29"/>
      <c r="H95" s="187"/>
      <c r="I95" s="187"/>
      <c r="J95" s="195"/>
      <c r="K95" s="86" t="str">
        <f t="shared" si="8"/>
        <v/>
      </c>
      <c r="L95" s="57" t="str">
        <f t="shared" si="15"/>
        <v/>
      </c>
      <c r="M95" s="186"/>
      <c r="N95" s="189"/>
      <c r="O95" s="190"/>
      <c r="P95" s="190"/>
      <c r="Q95" s="191"/>
      <c r="R95" s="189"/>
      <c r="S95" s="53" t="str">
        <f t="shared" si="9"/>
        <v/>
      </c>
      <c r="T95" s="63" t="str">
        <f t="shared" si="10"/>
        <v/>
      </c>
      <c r="U95" s="64" t="str">
        <f>IF(OR(ISBLANK(Trades!R95), ISBLANK(Trades!H95), ISBLANK(Trades!I95)), "", IF(Trades!H95=Trades!I95, "N/A", (Trades!R95-Trades!H95)/(Trades!H95-Trades!I95)))</f>
        <v/>
      </c>
      <c r="V95" s="65" t="str">
        <f t="shared" si="11"/>
        <v/>
      </c>
      <c r="W95" s="66" t="str">
        <f t="shared" si="12"/>
        <v/>
      </c>
      <c r="X95" s="62" t="str">
        <f t="shared" si="13"/>
        <v/>
      </c>
      <c r="Y95" s="45"/>
      <c r="Z95" s="44"/>
      <c r="AA95" s="41"/>
      <c r="AB95" s="39"/>
      <c r="AC95" s="37" t="str">
        <f t="shared" si="14"/>
        <v/>
      </c>
    </row>
    <row r="96" spans="2:29" x14ac:dyDescent="0.25">
      <c r="B96" s="54">
        <v>90</v>
      </c>
      <c r="C96" s="168"/>
      <c r="D96" s="51"/>
      <c r="E96" s="29"/>
      <c r="F96" s="48"/>
      <c r="G96" s="29"/>
      <c r="H96" s="187"/>
      <c r="I96" s="187"/>
      <c r="J96" s="195"/>
      <c r="K96" s="86" t="str">
        <f t="shared" si="8"/>
        <v/>
      </c>
      <c r="L96" s="57" t="str">
        <f t="shared" si="15"/>
        <v/>
      </c>
      <c r="M96" s="186"/>
      <c r="N96" s="189"/>
      <c r="O96" s="190"/>
      <c r="P96" s="190"/>
      <c r="Q96" s="191"/>
      <c r="R96" s="189"/>
      <c r="S96" s="53" t="str">
        <f t="shared" si="9"/>
        <v/>
      </c>
      <c r="T96" s="63" t="str">
        <f t="shared" si="10"/>
        <v/>
      </c>
      <c r="U96" s="64" t="str">
        <f>IF(OR(ISBLANK(Trades!R96), ISBLANK(Trades!H96), ISBLANK(Trades!I96)), "", IF(Trades!H96=Trades!I96, "N/A", (Trades!R96-Trades!H96)/(Trades!H96-Trades!I96)))</f>
        <v/>
      </c>
      <c r="V96" s="65" t="str">
        <f t="shared" si="11"/>
        <v/>
      </c>
      <c r="W96" s="66" t="str">
        <f t="shared" si="12"/>
        <v/>
      </c>
      <c r="X96" s="62" t="str">
        <f t="shared" si="13"/>
        <v/>
      </c>
      <c r="Y96" s="45"/>
      <c r="Z96" s="44"/>
      <c r="AA96" s="41"/>
      <c r="AB96" s="39"/>
      <c r="AC96" s="37" t="str">
        <f t="shared" si="14"/>
        <v/>
      </c>
    </row>
    <row r="97" spans="2:29" x14ac:dyDescent="0.25">
      <c r="B97" s="54">
        <v>91</v>
      </c>
      <c r="C97" s="168"/>
      <c r="D97" s="51"/>
      <c r="E97" s="29"/>
      <c r="F97" s="48"/>
      <c r="G97" s="29"/>
      <c r="H97" s="187"/>
      <c r="I97" s="187"/>
      <c r="J97" s="195"/>
      <c r="K97" s="86" t="str">
        <f t="shared" si="8"/>
        <v/>
      </c>
      <c r="L97" s="57" t="str">
        <f t="shared" si="15"/>
        <v/>
      </c>
      <c r="M97" s="186"/>
      <c r="N97" s="189"/>
      <c r="O97" s="190"/>
      <c r="P97" s="190"/>
      <c r="Q97" s="191"/>
      <c r="R97" s="189"/>
      <c r="S97" s="53" t="str">
        <f t="shared" si="9"/>
        <v/>
      </c>
      <c r="T97" s="63" t="str">
        <f t="shared" si="10"/>
        <v/>
      </c>
      <c r="U97" s="64" t="str">
        <f>IF(OR(ISBLANK(Trades!R97), ISBLANK(Trades!H97), ISBLANK(Trades!I97)), "", IF(Trades!H97=Trades!I97, "N/A", (Trades!R97-Trades!H97)/(Trades!H97-Trades!I97)))</f>
        <v/>
      </c>
      <c r="V97" s="65" t="str">
        <f t="shared" si="11"/>
        <v/>
      </c>
      <c r="W97" s="66" t="str">
        <f t="shared" si="12"/>
        <v/>
      </c>
      <c r="X97" s="62" t="str">
        <f t="shared" si="13"/>
        <v/>
      </c>
      <c r="Y97" s="45"/>
      <c r="Z97" s="44"/>
      <c r="AA97" s="41"/>
      <c r="AB97" s="39"/>
      <c r="AC97" s="37" t="str">
        <f t="shared" si="14"/>
        <v/>
      </c>
    </row>
    <row r="98" spans="2:29" x14ac:dyDescent="0.25">
      <c r="B98" s="54">
        <v>92</v>
      </c>
      <c r="C98" s="168"/>
      <c r="D98" s="51"/>
      <c r="E98" s="29"/>
      <c r="F98" s="48"/>
      <c r="G98" s="29"/>
      <c r="H98" s="187"/>
      <c r="I98" s="187"/>
      <c r="J98" s="195"/>
      <c r="K98" s="86" t="str">
        <f t="shared" si="8"/>
        <v/>
      </c>
      <c r="L98" s="57" t="str">
        <f t="shared" si="15"/>
        <v/>
      </c>
      <c r="M98" s="186"/>
      <c r="N98" s="189"/>
      <c r="O98" s="190"/>
      <c r="P98" s="190"/>
      <c r="Q98" s="191"/>
      <c r="R98" s="189"/>
      <c r="S98" s="53" t="str">
        <f t="shared" si="9"/>
        <v/>
      </c>
      <c r="T98" s="63" t="str">
        <f t="shared" si="10"/>
        <v/>
      </c>
      <c r="U98" s="64" t="str">
        <f>IF(OR(ISBLANK(Trades!R98), ISBLANK(Trades!H98), ISBLANK(Trades!I98)), "", IF(Trades!H98=Trades!I98, "N/A", (Trades!R98-Trades!H98)/(Trades!H98-Trades!I98)))</f>
        <v/>
      </c>
      <c r="V98" s="65" t="str">
        <f t="shared" si="11"/>
        <v/>
      </c>
      <c r="W98" s="66" t="str">
        <f t="shared" si="12"/>
        <v/>
      </c>
      <c r="X98" s="62" t="str">
        <f t="shared" si="13"/>
        <v/>
      </c>
      <c r="Y98" s="45"/>
      <c r="Z98" s="44"/>
      <c r="AA98" s="41"/>
      <c r="AB98" s="39"/>
      <c r="AC98" s="37" t="str">
        <f t="shared" si="14"/>
        <v/>
      </c>
    </row>
    <row r="99" spans="2:29" x14ac:dyDescent="0.25">
      <c r="B99" s="54">
        <v>93</v>
      </c>
      <c r="C99" s="168"/>
      <c r="D99" s="51"/>
      <c r="E99" s="29"/>
      <c r="F99" s="48"/>
      <c r="G99" s="29"/>
      <c r="H99" s="187"/>
      <c r="I99" s="187"/>
      <c r="J99" s="195"/>
      <c r="K99" s="86" t="str">
        <f t="shared" si="8"/>
        <v/>
      </c>
      <c r="L99" s="57" t="str">
        <f t="shared" si="15"/>
        <v/>
      </c>
      <c r="M99" s="186"/>
      <c r="N99" s="189"/>
      <c r="O99" s="190"/>
      <c r="P99" s="190"/>
      <c r="Q99" s="191"/>
      <c r="R99" s="189"/>
      <c r="S99" s="53" t="str">
        <f t="shared" si="9"/>
        <v/>
      </c>
      <c r="T99" s="63" t="str">
        <f t="shared" si="10"/>
        <v/>
      </c>
      <c r="U99" s="64" t="str">
        <f>IF(OR(ISBLANK(Trades!R99), ISBLANK(Trades!H99), ISBLANK(Trades!I99)), "", IF(Trades!H99=Trades!I99, "N/A", (Trades!R99-Trades!H99)/(Trades!H99-Trades!I99)))</f>
        <v/>
      </c>
      <c r="V99" s="65" t="str">
        <f t="shared" si="11"/>
        <v/>
      </c>
      <c r="W99" s="66" t="str">
        <f t="shared" si="12"/>
        <v/>
      </c>
      <c r="X99" s="62" t="str">
        <f t="shared" si="13"/>
        <v/>
      </c>
      <c r="Y99" s="45"/>
      <c r="Z99" s="44"/>
      <c r="AA99" s="41"/>
      <c r="AB99" s="39"/>
      <c r="AC99" s="37" t="str">
        <f t="shared" si="14"/>
        <v/>
      </c>
    </row>
    <row r="100" spans="2:29" x14ac:dyDescent="0.25">
      <c r="B100" s="54">
        <v>94</v>
      </c>
      <c r="C100" s="168"/>
      <c r="D100" s="51"/>
      <c r="E100" s="29"/>
      <c r="F100" s="48"/>
      <c r="G100" s="29"/>
      <c r="H100" s="187"/>
      <c r="I100" s="187"/>
      <c r="J100" s="195"/>
      <c r="K100" s="86" t="str">
        <f t="shared" si="8"/>
        <v/>
      </c>
      <c r="L100" s="57" t="str">
        <f t="shared" si="15"/>
        <v/>
      </c>
      <c r="M100" s="186"/>
      <c r="N100" s="189"/>
      <c r="O100" s="190"/>
      <c r="P100" s="190"/>
      <c r="Q100" s="191"/>
      <c r="R100" s="189"/>
      <c r="S100" s="53" t="str">
        <f t="shared" si="9"/>
        <v/>
      </c>
      <c r="T100" s="63" t="str">
        <f t="shared" si="10"/>
        <v/>
      </c>
      <c r="U100" s="64" t="str">
        <f>IF(OR(ISBLANK(Trades!R100), ISBLANK(Trades!H100), ISBLANK(Trades!I100)), "", IF(Trades!H100=Trades!I100, "N/A", (Trades!R100-Trades!H100)/(Trades!H100-Trades!I100)))</f>
        <v/>
      </c>
      <c r="V100" s="65" t="str">
        <f t="shared" si="11"/>
        <v/>
      </c>
      <c r="W100" s="66" t="str">
        <f t="shared" si="12"/>
        <v/>
      </c>
      <c r="X100" s="62" t="str">
        <f t="shared" si="13"/>
        <v/>
      </c>
      <c r="Y100" s="45"/>
      <c r="Z100" s="44"/>
      <c r="AA100" s="41"/>
      <c r="AB100" s="39"/>
      <c r="AC100" s="37" t="str">
        <f t="shared" si="14"/>
        <v/>
      </c>
    </row>
    <row r="101" spans="2:29" x14ac:dyDescent="0.25">
      <c r="B101" s="54">
        <v>95</v>
      </c>
      <c r="C101" s="168"/>
      <c r="D101" s="51"/>
      <c r="E101" s="29"/>
      <c r="F101" s="48"/>
      <c r="G101" s="29"/>
      <c r="H101" s="187"/>
      <c r="I101" s="187"/>
      <c r="J101" s="195"/>
      <c r="K101" s="86" t="str">
        <f t="shared" si="8"/>
        <v/>
      </c>
      <c r="L101" s="57" t="str">
        <f t="shared" si="15"/>
        <v/>
      </c>
      <c r="M101" s="186"/>
      <c r="N101" s="189"/>
      <c r="O101" s="190"/>
      <c r="P101" s="190"/>
      <c r="Q101" s="191"/>
      <c r="R101" s="189"/>
      <c r="S101" s="53" t="str">
        <f t="shared" si="9"/>
        <v/>
      </c>
      <c r="T101" s="63" t="str">
        <f t="shared" si="10"/>
        <v/>
      </c>
      <c r="U101" s="64" t="str">
        <f>IF(OR(ISBLANK(Trades!R101), ISBLANK(Trades!H101), ISBLANK(Trades!I101)), "", IF(Trades!H101=Trades!I101, "N/A", (Trades!R101-Trades!H101)/(Trades!H101-Trades!I101)))</f>
        <v/>
      </c>
      <c r="V101" s="65" t="str">
        <f t="shared" si="11"/>
        <v/>
      </c>
      <c r="W101" s="66" t="str">
        <f t="shared" si="12"/>
        <v/>
      </c>
      <c r="X101" s="62" t="str">
        <f t="shared" si="13"/>
        <v/>
      </c>
      <c r="Y101" s="45"/>
      <c r="Z101" s="44"/>
      <c r="AA101" s="41"/>
      <c r="AB101" s="39"/>
      <c r="AC101" s="37" t="str">
        <f t="shared" si="14"/>
        <v/>
      </c>
    </row>
    <row r="102" spans="2:29" x14ac:dyDescent="0.25">
      <c r="B102" s="54">
        <v>96</v>
      </c>
      <c r="C102" s="168"/>
      <c r="D102" s="51"/>
      <c r="E102" s="29"/>
      <c r="F102" s="48"/>
      <c r="G102" s="29"/>
      <c r="H102" s="187"/>
      <c r="I102" s="187"/>
      <c r="J102" s="195"/>
      <c r="K102" s="86" t="str">
        <f t="shared" si="8"/>
        <v/>
      </c>
      <c r="L102" s="57" t="str">
        <f t="shared" si="15"/>
        <v/>
      </c>
      <c r="M102" s="186"/>
      <c r="N102" s="189"/>
      <c r="O102" s="190"/>
      <c r="P102" s="190"/>
      <c r="Q102" s="191"/>
      <c r="R102" s="189"/>
      <c r="S102" s="53" t="str">
        <f t="shared" si="9"/>
        <v/>
      </c>
      <c r="T102" s="63" t="str">
        <f t="shared" si="10"/>
        <v/>
      </c>
      <c r="U102" s="64" t="str">
        <f>IF(OR(ISBLANK(Trades!R102), ISBLANK(Trades!H102), ISBLANK(Trades!I102)), "", IF(Trades!H102=Trades!I102, "N/A", (Trades!R102-Trades!H102)/(Trades!H102-Trades!I102)))</f>
        <v/>
      </c>
      <c r="V102" s="65" t="str">
        <f t="shared" si="11"/>
        <v/>
      </c>
      <c r="W102" s="66" t="str">
        <f t="shared" si="12"/>
        <v/>
      </c>
      <c r="X102" s="62" t="str">
        <f t="shared" si="13"/>
        <v/>
      </c>
      <c r="Y102" s="45"/>
      <c r="Z102" s="44"/>
      <c r="AA102" s="41"/>
      <c r="AB102" s="39"/>
      <c r="AC102" s="37" t="str">
        <f t="shared" si="14"/>
        <v/>
      </c>
    </row>
    <row r="103" spans="2:29" x14ac:dyDescent="0.25">
      <c r="B103" s="54">
        <v>97</v>
      </c>
      <c r="C103" s="168"/>
      <c r="D103" s="51"/>
      <c r="E103" s="29"/>
      <c r="F103" s="48"/>
      <c r="G103" s="29"/>
      <c r="H103" s="187"/>
      <c r="I103" s="187"/>
      <c r="J103" s="195"/>
      <c r="K103" s="86" t="str">
        <f t="shared" si="8"/>
        <v/>
      </c>
      <c r="L103" s="57" t="str">
        <f t="shared" si="15"/>
        <v/>
      </c>
      <c r="M103" s="186"/>
      <c r="N103" s="189"/>
      <c r="O103" s="190"/>
      <c r="P103" s="190"/>
      <c r="Q103" s="191"/>
      <c r="R103" s="189"/>
      <c r="S103" s="53" t="str">
        <f t="shared" si="9"/>
        <v/>
      </c>
      <c r="T103" s="63" t="str">
        <f t="shared" si="10"/>
        <v/>
      </c>
      <c r="U103" s="64" t="str">
        <f>IF(OR(ISBLANK(Trades!R103), ISBLANK(Trades!H103), ISBLANK(Trades!I103)), "", IF(Trades!H103=Trades!I103, "N/A", (Trades!R103-Trades!H103)/(Trades!H103-Trades!I103)))</f>
        <v/>
      </c>
      <c r="V103" s="65" t="str">
        <f t="shared" si="11"/>
        <v/>
      </c>
      <c r="W103" s="66" t="str">
        <f t="shared" si="12"/>
        <v/>
      </c>
      <c r="X103" s="62" t="str">
        <f t="shared" si="13"/>
        <v/>
      </c>
      <c r="Y103" s="45"/>
      <c r="Z103" s="44"/>
      <c r="AA103" s="41"/>
      <c r="AB103" s="39"/>
      <c r="AC103" s="37" t="str">
        <f t="shared" si="14"/>
        <v/>
      </c>
    </row>
    <row r="104" spans="2:29" x14ac:dyDescent="0.25">
      <c r="B104" s="54">
        <v>98</v>
      </c>
      <c r="C104" s="168"/>
      <c r="D104" s="51"/>
      <c r="E104" s="29"/>
      <c r="F104" s="48"/>
      <c r="G104" s="29"/>
      <c r="H104" s="187"/>
      <c r="I104" s="187"/>
      <c r="J104" s="195"/>
      <c r="K104" s="86" t="str">
        <f t="shared" si="8"/>
        <v/>
      </c>
      <c r="L104" s="57" t="str">
        <f t="shared" si="15"/>
        <v/>
      </c>
      <c r="M104" s="186"/>
      <c r="N104" s="189"/>
      <c r="O104" s="190"/>
      <c r="P104" s="190" t="str">
        <f>IF(OR(ISBLANK(V104),COUNTBLANK(V104:$V$1048576)=ROWS(V104:$V$1048576)),"",$R$2*(1+SUM(V$7:V104)))</f>
        <v/>
      </c>
      <c r="Q104" s="191"/>
      <c r="R104" s="189"/>
      <c r="S104" s="53" t="str">
        <f t="shared" si="9"/>
        <v/>
      </c>
      <c r="T104" s="63" t="str">
        <f t="shared" si="10"/>
        <v/>
      </c>
      <c r="U104" s="64" t="str">
        <f>IF(OR(ISBLANK(Trades!R104), ISBLANK(Trades!H104), ISBLANK(Trades!I104)), "", IF(Trades!H104=Trades!I104, "N/A", (Trades!R104-Trades!H104)/(Trades!H104-Trades!I104)))</f>
        <v/>
      </c>
      <c r="V104" s="65" t="str">
        <f t="shared" si="11"/>
        <v/>
      </c>
      <c r="W104" s="66" t="str">
        <f t="shared" si="12"/>
        <v/>
      </c>
      <c r="X104" s="62" t="str">
        <f t="shared" si="13"/>
        <v/>
      </c>
      <c r="Y104" s="45"/>
      <c r="Z104" s="44"/>
      <c r="AA104" s="41"/>
      <c r="AB104" s="39"/>
      <c r="AC104" s="37" t="str">
        <f t="shared" si="14"/>
        <v/>
      </c>
    </row>
    <row r="105" spans="2:29" x14ac:dyDescent="0.25">
      <c r="B105" s="54">
        <v>99</v>
      </c>
      <c r="C105" s="168"/>
      <c r="D105" s="51"/>
      <c r="E105" s="29"/>
      <c r="F105" s="48"/>
      <c r="G105" s="29"/>
      <c r="H105" s="187"/>
      <c r="I105" s="187"/>
      <c r="J105" s="195"/>
      <c r="K105" s="86" t="str">
        <f t="shared" si="8"/>
        <v/>
      </c>
      <c r="L105" s="57" t="str">
        <f t="shared" si="15"/>
        <v/>
      </c>
      <c r="M105" s="186"/>
      <c r="N105" s="189"/>
      <c r="O105" s="190"/>
      <c r="P105" s="190" t="str">
        <f>IF(OR(ISBLANK(V105),COUNTBLANK(V105:$V$1048576)=ROWS(V105:$V$1048576)),"",$R$2*(1+SUM(V$7:V105)))</f>
        <v/>
      </c>
      <c r="Q105" s="191"/>
      <c r="R105" s="189"/>
      <c r="S105" s="53" t="str">
        <f t="shared" si="9"/>
        <v/>
      </c>
      <c r="T105" s="63" t="str">
        <f t="shared" si="10"/>
        <v/>
      </c>
      <c r="U105" s="64" t="str">
        <f>IF(OR(ISBLANK(Trades!R105), ISBLANK(Trades!H105), ISBLANK(Trades!I105)), "", IF(Trades!H105=Trades!I105, "N/A", (Trades!R105-Trades!H105)/(Trades!H105-Trades!I105)))</f>
        <v/>
      </c>
      <c r="V105" s="65" t="str">
        <f t="shared" si="11"/>
        <v/>
      </c>
      <c r="W105" s="66" t="str">
        <f t="shared" si="12"/>
        <v/>
      </c>
      <c r="X105" s="62" t="str">
        <f t="shared" si="13"/>
        <v/>
      </c>
      <c r="Y105" s="45"/>
      <c r="Z105" s="44"/>
      <c r="AA105" s="41"/>
      <c r="AB105" s="39"/>
      <c r="AC105" s="37" t="str">
        <f t="shared" si="14"/>
        <v/>
      </c>
    </row>
    <row r="106" spans="2:29" x14ac:dyDescent="0.25">
      <c r="B106" s="54">
        <v>100</v>
      </c>
      <c r="C106" s="168"/>
      <c r="D106" s="51"/>
      <c r="E106" s="29"/>
      <c r="F106" s="48"/>
      <c r="G106" s="29"/>
      <c r="H106" s="187"/>
      <c r="I106" s="187"/>
      <c r="J106" s="195"/>
      <c r="K106" s="86" t="str">
        <f t="shared" si="8"/>
        <v/>
      </c>
      <c r="L106" s="57" t="str">
        <f t="shared" si="15"/>
        <v/>
      </c>
      <c r="M106" s="186"/>
      <c r="N106" s="189"/>
      <c r="O106" s="190"/>
      <c r="P106" s="190" t="str">
        <f>IF(OR(ISBLANK(V106),COUNTBLANK(V106:$V$1048576)=ROWS(V106:$V$1048576)),"",$R$2*(1+SUM(V$7:V106)))</f>
        <v/>
      </c>
      <c r="Q106" s="191"/>
      <c r="R106" s="189"/>
      <c r="S106" s="53" t="str">
        <f t="shared" si="9"/>
        <v/>
      </c>
      <c r="T106" s="63" t="str">
        <f t="shared" si="10"/>
        <v/>
      </c>
      <c r="U106" s="64" t="str">
        <f>IF(OR(ISBLANK(Trades!R106), ISBLANK(Trades!H106), ISBLANK(Trades!I106)), "", IF(Trades!H106=Trades!I106, "N/A", (Trades!R106-Trades!H106)/(Trades!H106-Trades!I106)))</f>
        <v/>
      </c>
      <c r="V106" s="65" t="str">
        <f t="shared" si="11"/>
        <v/>
      </c>
      <c r="W106" s="66" t="str">
        <f t="shared" si="12"/>
        <v/>
      </c>
      <c r="X106" s="62" t="str">
        <f t="shared" si="13"/>
        <v/>
      </c>
      <c r="Y106" s="45"/>
      <c r="Z106" s="44"/>
      <c r="AA106" s="41"/>
      <c r="AB106" s="39"/>
      <c r="AC106" s="37" t="str">
        <f t="shared" si="14"/>
        <v/>
      </c>
    </row>
    <row r="107" spans="2:29" x14ac:dyDescent="0.25">
      <c r="B107" s="54">
        <v>101</v>
      </c>
      <c r="C107" s="168"/>
      <c r="D107" s="51"/>
      <c r="E107" s="29"/>
      <c r="F107" s="48"/>
      <c r="G107" s="29"/>
      <c r="H107" s="187"/>
      <c r="I107" s="187"/>
      <c r="J107" s="195"/>
      <c r="K107" s="86" t="str">
        <f t="shared" si="8"/>
        <v/>
      </c>
      <c r="L107" s="57" t="str">
        <f t="shared" si="15"/>
        <v/>
      </c>
      <c r="M107" s="186"/>
      <c r="N107" s="189"/>
      <c r="O107" s="190"/>
      <c r="P107" s="190" t="str">
        <f>IF(OR(ISBLANK(V107),COUNTBLANK(V107:$V$1048576)=ROWS(V107:$V$1048576)),"",$R$2*(1+SUM(V$7:V107)))</f>
        <v/>
      </c>
      <c r="Q107" s="191"/>
      <c r="R107" s="189"/>
      <c r="S107" s="53" t="str">
        <f t="shared" si="9"/>
        <v/>
      </c>
      <c r="T107" s="63" t="str">
        <f t="shared" si="10"/>
        <v/>
      </c>
      <c r="U107" s="64" t="str">
        <f>IF(OR(ISBLANK(Trades!R107), ISBLANK(Trades!H107), ISBLANK(Trades!I107)), "", IF(Trades!H107=Trades!I107, "N/A", (Trades!R107-Trades!H107)/(Trades!H107-Trades!I107)))</f>
        <v/>
      </c>
      <c r="V107" s="65" t="str">
        <f t="shared" si="11"/>
        <v/>
      </c>
      <c r="W107" s="66" t="str">
        <f t="shared" si="12"/>
        <v/>
      </c>
      <c r="X107" s="62" t="str">
        <f t="shared" si="13"/>
        <v/>
      </c>
      <c r="Y107" s="45"/>
      <c r="Z107" s="44"/>
      <c r="AA107" s="41"/>
      <c r="AB107" s="39"/>
      <c r="AC107" s="37" t="str">
        <f t="shared" si="14"/>
        <v/>
      </c>
    </row>
    <row r="108" spans="2:29" x14ac:dyDescent="0.25">
      <c r="B108" s="54">
        <v>102</v>
      </c>
      <c r="C108" s="168"/>
      <c r="D108" s="51"/>
      <c r="E108" s="29"/>
      <c r="F108" s="48"/>
      <c r="G108" s="29"/>
      <c r="H108" s="187"/>
      <c r="I108" s="187"/>
      <c r="J108" s="195"/>
      <c r="K108" s="86" t="str">
        <f t="shared" si="8"/>
        <v/>
      </c>
      <c r="L108" s="57" t="str">
        <f t="shared" si="15"/>
        <v/>
      </c>
      <c r="M108" s="186"/>
      <c r="N108" s="189"/>
      <c r="O108" s="190"/>
      <c r="P108" s="190" t="str">
        <f>IF(OR(ISBLANK(V108),COUNTBLANK(V108:$V$1048576)=ROWS(V108:$V$1048576)),"",$R$2*(1+SUM(V$7:V108)))</f>
        <v/>
      </c>
      <c r="Q108" s="191"/>
      <c r="R108" s="189"/>
      <c r="S108" s="53" t="str">
        <f t="shared" si="9"/>
        <v/>
      </c>
      <c r="T108" s="63" t="str">
        <f t="shared" si="10"/>
        <v/>
      </c>
      <c r="U108" s="64" t="str">
        <f>IF(OR(ISBLANK(Trades!R108), ISBLANK(Trades!H108), ISBLANK(Trades!I108)), "", IF(Trades!H108=Trades!I108, "N/A", (Trades!R108-Trades!H108)/(Trades!H108-Trades!I108)))</f>
        <v/>
      </c>
      <c r="V108" s="65" t="str">
        <f t="shared" si="11"/>
        <v/>
      </c>
      <c r="W108" s="66" t="str">
        <f t="shared" si="12"/>
        <v/>
      </c>
      <c r="X108" s="62" t="str">
        <f t="shared" si="13"/>
        <v/>
      </c>
      <c r="Y108" s="45"/>
      <c r="Z108" s="44"/>
      <c r="AA108" s="41"/>
      <c r="AB108" s="39"/>
      <c r="AC108" s="37" t="str">
        <f t="shared" si="14"/>
        <v/>
      </c>
    </row>
    <row r="109" spans="2:29" x14ac:dyDescent="0.25">
      <c r="B109" s="54">
        <v>103</v>
      </c>
      <c r="C109" s="168"/>
      <c r="D109" s="51"/>
      <c r="E109" s="29"/>
      <c r="F109" s="48"/>
      <c r="G109" s="29"/>
      <c r="H109" s="187"/>
      <c r="I109" s="187"/>
      <c r="J109" s="195"/>
      <c r="K109" s="86" t="str">
        <f t="shared" si="8"/>
        <v/>
      </c>
      <c r="L109" s="57" t="str">
        <f t="shared" si="15"/>
        <v/>
      </c>
      <c r="M109" s="186"/>
      <c r="N109" s="189"/>
      <c r="O109" s="190"/>
      <c r="P109" s="190" t="str">
        <f>IF(OR(ISBLANK(V109),COUNTBLANK(V109:$V$1048576)=ROWS(V109:$V$1048576)),"",$R$2*(1+SUM(V$7:V109)))</f>
        <v/>
      </c>
      <c r="Q109" s="191"/>
      <c r="R109" s="189"/>
      <c r="S109" s="53" t="str">
        <f t="shared" si="9"/>
        <v/>
      </c>
      <c r="T109" s="63" t="str">
        <f t="shared" si="10"/>
        <v/>
      </c>
      <c r="U109" s="64" t="str">
        <f>IF(OR(ISBLANK(Trades!R109), ISBLANK(Trades!H109), ISBLANK(Trades!I109)), "", IF(Trades!H109=Trades!I109, "N/A", (Trades!R109-Trades!H109)/(Trades!H109-Trades!I109)))</f>
        <v/>
      </c>
      <c r="V109" s="65" t="str">
        <f t="shared" si="11"/>
        <v/>
      </c>
      <c r="W109" s="66" t="str">
        <f t="shared" si="12"/>
        <v/>
      </c>
      <c r="X109" s="62" t="str">
        <f t="shared" si="13"/>
        <v/>
      </c>
      <c r="Y109" s="45"/>
      <c r="Z109" s="44"/>
      <c r="AA109" s="41"/>
      <c r="AB109" s="39"/>
      <c r="AC109" s="37" t="str">
        <f t="shared" si="14"/>
        <v/>
      </c>
    </row>
    <row r="110" spans="2:29" x14ac:dyDescent="0.25">
      <c r="B110" s="54">
        <v>104</v>
      </c>
      <c r="C110" s="168"/>
      <c r="D110" s="51"/>
      <c r="E110" s="29"/>
      <c r="F110" s="48"/>
      <c r="G110" s="29"/>
      <c r="H110" s="187"/>
      <c r="I110" s="187"/>
      <c r="J110" s="195"/>
      <c r="K110" s="86" t="str">
        <f t="shared" si="8"/>
        <v/>
      </c>
      <c r="L110" s="57" t="str">
        <f t="shared" si="15"/>
        <v/>
      </c>
      <c r="M110" s="186"/>
      <c r="N110" s="189"/>
      <c r="O110" s="190"/>
      <c r="P110" s="190" t="str">
        <f>IF(OR(ISBLANK(V110),COUNTBLANK(V110:$V$1048576)=ROWS(V110:$V$1048576)),"",$R$2*(1+SUM(V$7:V110)))</f>
        <v/>
      </c>
      <c r="Q110" s="191"/>
      <c r="R110" s="189"/>
      <c r="S110" s="53" t="str">
        <f t="shared" si="9"/>
        <v/>
      </c>
      <c r="T110" s="63" t="str">
        <f t="shared" si="10"/>
        <v/>
      </c>
      <c r="U110" s="64" t="str">
        <f>IF(OR(ISBLANK(Trades!R110), ISBLANK(Trades!H110), ISBLANK(Trades!I110)), "", IF(Trades!H110=Trades!I110, "N/A", (Trades!R110-Trades!H110)/(Trades!H110-Trades!I110)))</f>
        <v/>
      </c>
      <c r="V110" s="65" t="str">
        <f t="shared" si="11"/>
        <v/>
      </c>
      <c r="W110" s="66" t="str">
        <f t="shared" si="12"/>
        <v/>
      </c>
      <c r="X110" s="62" t="str">
        <f t="shared" si="13"/>
        <v/>
      </c>
      <c r="Y110" s="45"/>
      <c r="Z110" s="44"/>
      <c r="AA110" s="41"/>
      <c r="AB110" s="39"/>
      <c r="AC110" s="37" t="str">
        <f t="shared" si="14"/>
        <v/>
      </c>
    </row>
    <row r="111" spans="2:29" x14ac:dyDescent="0.25">
      <c r="B111" s="54">
        <v>105</v>
      </c>
      <c r="C111" s="168"/>
      <c r="D111" s="51"/>
      <c r="E111" s="29"/>
      <c r="F111" s="48"/>
      <c r="G111" s="29"/>
      <c r="H111" s="187"/>
      <c r="I111" s="187"/>
      <c r="J111" s="195"/>
      <c r="K111" s="86" t="str">
        <f t="shared" si="8"/>
        <v/>
      </c>
      <c r="L111" s="57" t="str">
        <f t="shared" si="15"/>
        <v/>
      </c>
      <c r="M111" s="186"/>
      <c r="N111" s="189"/>
      <c r="O111" s="190"/>
      <c r="P111" s="190" t="str">
        <f>IF(OR(ISBLANK(V111),COUNTBLANK(V111:$V$1048576)=ROWS(V111:$V$1048576)),"",$R$2*(1+SUM(V$7:V111)))</f>
        <v/>
      </c>
      <c r="Q111" s="191"/>
      <c r="R111" s="189"/>
      <c r="S111" s="53" t="str">
        <f t="shared" si="9"/>
        <v/>
      </c>
      <c r="T111" s="63" t="str">
        <f t="shared" si="10"/>
        <v/>
      </c>
      <c r="U111" s="64" t="str">
        <f>IF(OR(ISBLANK(Trades!R111), ISBLANK(Trades!H111), ISBLANK(Trades!I111)), "", IF(Trades!H111=Trades!I111, "N/A", (Trades!R111-Trades!H111)/(Trades!H111-Trades!I111)))</f>
        <v/>
      </c>
      <c r="V111" s="65" t="str">
        <f t="shared" si="11"/>
        <v/>
      </c>
      <c r="W111" s="66" t="str">
        <f t="shared" si="12"/>
        <v/>
      </c>
      <c r="X111" s="62" t="str">
        <f t="shared" si="13"/>
        <v/>
      </c>
      <c r="Y111" s="45"/>
      <c r="Z111" s="44"/>
      <c r="AA111" s="41"/>
      <c r="AB111" s="39"/>
      <c r="AC111" s="37" t="str">
        <f t="shared" si="14"/>
        <v/>
      </c>
    </row>
    <row r="112" spans="2:29" x14ac:dyDescent="0.25">
      <c r="B112" s="54">
        <v>106</v>
      </c>
      <c r="C112" s="168"/>
      <c r="D112" s="51"/>
      <c r="E112" s="29"/>
      <c r="F112" s="48"/>
      <c r="G112" s="29"/>
      <c r="H112" s="187"/>
      <c r="I112" s="187"/>
      <c r="J112" s="195"/>
      <c r="K112" s="86" t="str">
        <f t="shared" si="8"/>
        <v/>
      </c>
      <c r="L112" s="57" t="str">
        <f t="shared" si="15"/>
        <v/>
      </c>
      <c r="M112" s="186"/>
      <c r="N112" s="189"/>
      <c r="O112" s="190"/>
      <c r="P112" s="190" t="str">
        <f>IF(OR(ISBLANK(V112),COUNTBLANK(V112:$V$1048576)=ROWS(V112:$V$1048576)),"",$R$2*(1+SUM(V$7:V112)))</f>
        <v/>
      </c>
      <c r="Q112" s="191"/>
      <c r="R112" s="189"/>
      <c r="S112" s="53" t="str">
        <f t="shared" si="9"/>
        <v/>
      </c>
      <c r="T112" s="63" t="str">
        <f t="shared" si="10"/>
        <v/>
      </c>
      <c r="U112" s="64" t="str">
        <f>IF(OR(ISBLANK(Trades!R112), ISBLANK(Trades!H112), ISBLANK(Trades!I112)), "", IF(Trades!H112=Trades!I112, "N/A", (Trades!R112-Trades!H112)/(Trades!H112-Trades!I112)))</f>
        <v/>
      </c>
      <c r="V112" s="65" t="str">
        <f t="shared" si="11"/>
        <v/>
      </c>
      <c r="W112" s="66" t="str">
        <f t="shared" si="12"/>
        <v/>
      </c>
      <c r="X112" s="62" t="str">
        <f t="shared" si="13"/>
        <v/>
      </c>
      <c r="Y112" s="45"/>
      <c r="Z112" s="44"/>
      <c r="AA112" s="41"/>
      <c r="AB112" s="39"/>
      <c r="AC112" s="37" t="str">
        <f t="shared" si="14"/>
        <v/>
      </c>
    </row>
    <row r="113" spans="2:29" x14ac:dyDescent="0.25">
      <c r="B113" s="54">
        <v>107</v>
      </c>
      <c r="C113" s="168"/>
      <c r="D113" s="51"/>
      <c r="E113" s="29"/>
      <c r="F113" s="48"/>
      <c r="G113" s="29"/>
      <c r="H113" s="187"/>
      <c r="I113" s="187"/>
      <c r="J113" s="195"/>
      <c r="K113" s="86" t="str">
        <f t="shared" si="8"/>
        <v/>
      </c>
      <c r="L113" s="57" t="str">
        <f t="shared" si="15"/>
        <v/>
      </c>
      <c r="M113" s="186"/>
      <c r="N113" s="189"/>
      <c r="O113" s="190"/>
      <c r="P113" s="190" t="str">
        <f>IF(OR(ISBLANK(V113),COUNTBLANK(V113:$V$1048576)=ROWS(V113:$V$1048576)),"",$R$2*(1+SUM(V$7:V113)))</f>
        <v/>
      </c>
      <c r="Q113" s="191"/>
      <c r="R113" s="189"/>
      <c r="S113" s="53" t="str">
        <f t="shared" si="9"/>
        <v/>
      </c>
      <c r="T113" s="63" t="str">
        <f t="shared" si="10"/>
        <v/>
      </c>
      <c r="U113" s="64" t="str">
        <f>IF(OR(ISBLANK(Trades!R113), ISBLANK(Trades!H113), ISBLANK(Trades!I113)), "", IF(Trades!H113=Trades!I113, "N/A", (Trades!R113-Trades!H113)/(Trades!H113-Trades!I113)))</f>
        <v/>
      </c>
      <c r="V113" s="65" t="str">
        <f t="shared" si="11"/>
        <v/>
      </c>
      <c r="W113" s="66" t="str">
        <f t="shared" si="12"/>
        <v/>
      </c>
      <c r="X113" s="62" t="str">
        <f t="shared" si="13"/>
        <v/>
      </c>
      <c r="Y113" s="45"/>
      <c r="Z113" s="44"/>
      <c r="AA113" s="41"/>
      <c r="AB113" s="39"/>
      <c r="AC113" s="37" t="str">
        <f t="shared" si="14"/>
        <v/>
      </c>
    </row>
    <row r="114" spans="2:29" x14ac:dyDescent="0.25">
      <c r="B114" s="54">
        <v>108</v>
      </c>
      <c r="C114" s="168"/>
      <c r="D114" s="51"/>
      <c r="E114" s="29"/>
      <c r="F114" s="48"/>
      <c r="G114" s="29"/>
      <c r="H114" s="187"/>
      <c r="I114" s="187"/>
      <c r="J114" s="195"/>
      <c r="K114" s="86" t="str">
        <f t="shared" si="8"/>
        <v/>
      </c>
      <c r="L114" s="57" t="str">
        <f t="shared" si="15"/>
        <v/>
      </c>
      <c r="M114" s="186"/>
      <c r="N114" s="189"/>
      <c r="O114" s="190"/>
      <c r="P114" s="190" t="str">
        <f>IF(OR(ISBLANK(V114),COUNTBLANK(V114:$V$1048576)=ROWS(V114:$V$1048576)),"",$R$2*(1+SUM(V$7:V114)))</f>
        <v/>
      </c>
      <c r="Q114" s="191"/>
      <c r="R114" s="189"/>
      <c r="S114" s="53" t="str">
        <f t="shared" si="9"/>
        <v/>
      </c>
      <c r="T114" s="63" t="str">
        <f t="shared" si="10"/>
        <v/>
      </c>
      <c r="U114" s="64" t="str">
        <f>IF(OR(ISBLANK(Trades!R114), ISBLANK(Trades!H114), ISBLANK(Trades!I114)), "", IF(Trades!H114=Trades!I114, "N/A", (Trades!R114-Trades!H114)/(Trades!H114-Trades!I114)))</f>
        <v/>
      </c>
      <c r="V114" s="65" t="str">
        <f t="shared" si="11"/>
        <v/>
      </c>
      <c r="W114" s="66" t="str">
        <f t="shared" si="12"/>
        <v/>
      </c>
      <c r="X114" s="62" t="str">
        <f t="shared" si="13"/>
        <v/>
      </c>
      <c r="Y114" s="45"/>
      <c r="Z114" s="44"/>
      <c r="AA114" s="41"/>
      <c r="AB114" s="39"/>
      <c r="AC114" s="37" t="str">
        <f t="shared" si="14"/>
        <v/>
      </c>
    </row>
    <row r="115" spans="2:29" x14ac:dyDescent="0.25">
      <c r="B115" s="54">
        <v>109</v>
      </c>
      <c r="C115" s="168"/>
      <c r="D115" s="51"/>
      <c r="E115" s="29"/>
      <c r="F115" s="48"/>
      <c r="G115" s="29"/>
      <c r="H115" s="187"/>
      <c r="I115" s="187"/>
      <c r="J115" s="195"/>
      <c r="K115" s="86" t="str">
        <f t="shared" si="8"/>
        <v/>
      </c>
      <c r="L115" s="57" t="str">
        <f t="shared" si="15"/>
        <v/>
      </c>
      <c r="M115" s="186"/>
      <c r="N115" s="189"/>
      <c r="O115" s="190"/>
      <c r="P115" s="190" t="str">
        <f>IF(OR(ISBLANK(V115),COUNTBLANK(V115:$V$1048576)=ROWS(V115:$V$1048576)),"",$R$2*(1+SUM(V$7:V115)))</f>
        <v/>
      </c>
      <c r="Q115" s="191"/>
      <c r="R115" s="189"/>
      <c r="S115" s="53" t="str">
        <f t="shared" si="9"/>
        <v/>
      </c>
      <c r="T115" s="63" t="str">
        <f t="shared" si="10"/>
        <v/>
      </c>
      <c r="U115" s="64" t="str">
        <f>IF(OR(ISBLANK(Trades!R115), ISBLANK(Trades!H115), ISBLANK(Trades!I115)), "", IF(Trades!H115=Trades!I115, "N/A", (Trades!R115-Trades!H115)/(Trades!H115-Trades!I115)))</f>
        <v/>
      </c>
      <c r="V115" s="65" t="str">
        <f t="shared" si="11"/>
        <v/>
      </c>
      <c r="W115" s="66" t="str">
        <f t="shared" si="12"/>
        <v/>
      </c>
      <c r="X115" s="62" t="str">
        <f t="shared" si="13"/>
        <v/>
      </c>
      <c r="Y115" s="45"/>
      <c r="Z115" s="44"/>
      <c r="AA115" s="41"/>
      <c r="AB115" s="39"/>
      <c r="AC115" s="37" t="str">
        <f t="shared" si="14"/>
        <v/>
      </c>
    </row>
    <row r="116" spans="2:29" x14ac:dyDescent="0.25">
      <c r="B116" s="54">
        <v>110</v>
      </c>
      <c r="C116" s="168"/>
      <c r="D116" s="51"/>
      <c r="E116" s="29"/>
      <c r="F116" s="48"/>
      <c r="G116" s="29"/>
      <c r="H116" s="187"/>
      <c r="I116" s="187"/>
      <c r="J116" s="195"/>
      <c r="K116" s="86" t="str">
        <f t="shared" si="8"/>
        <v/>
      </c>
      <c r="L116" s="57" t="str">
        <f t="shared" si="15"/>
        <v/>
      </c>
      <c r="M116" s="186"/>
      <c r="N116" s="189"/>
      <c r="O116" s="190"/>
      <c r="P116" s="190" t="str">
        <f>IF(OR(ISBLANK(V116),COUNTBLANK(V116:$V$1048576)=ROWS(V116:$V$1048576)),"",$R$2*(1+SUM(V$7:V116)))</f>
        <v/>
      </c>
      <c r="Q116" s="191"/>
      <c r="R116" s="189"/>
      <c r="S116" s="53" t="str">
        <f t="shared" si="9"/>
        <v/>
      </c>
      <c r="T116" s="63" t="str">
        <f t="shared" si="10"/>
        <v/>
      </c>
      <c r="U116" s="64" t="str">
        <f>IF(OR(ISBLANK(Trades!R116), ISBLANK(Trades!H116), ISBLANK(Trades!I116)), "", IF(Trades!H116=Trades!I116, "N/A", (Trades!R116-Trades!H116)/(Trades!H116-Trades!I116)))</f>
        <v/>
      </c>
      <c r="V116" s="65" t="str">
        <f t="shared" si="11"/>
        <v/>
      </c>
      <c r="W116" s="66" t="str">
        <f t="shared" si="12"/>
        <v/>
      </c>
      <c r="X116" s="62" t="str">
        <f t="shared" si="13"/>
        <v/>
      </c>
      <c r="Y116" s="45"/>
      <c r="Z116" s="44"/>
      <c r="AA116" s="41"/>
      <c r="AB116" s="39"/>
      <c r="AC116" s="37" t="str">
        <f t="shared" si="14"/>
        <v/>
      </c>
    </row>
    <row r="117" spans="2:29" x14ac:dyDescent="0.25">
      <c r="B117" s="54">
        <v>111</v>
      </c>
      <c r="C117" s="168"/>
      <c r="D117" s="51"/>
      <c r="E117" s="29"/>
      <c r="F117" s="48"/>
      <c r="G117" s="29"/>
      <c r="H117" s="187"/>
      <c r="I117" s="187"/>
      <c r="J117" s="195"/>
      <c r="K117" s="86" t="str">
        <f t="shared" si="8"/>
        <v/>
      </c>
      <c r="L117" s="57" t="str">
        <f t="shared" si="15"/>
        <v/>
      </c>
      <c r="M117" s="186"/>
      <c r="N117" s="189"/>
      <c r="O117" s="190"/>
      <c r="P117" s="190" t="str">
        <f>IF(OR(ISBLANK(V117),COUNTBLANK(V117:$V$1048576)=ROWS(V117:$V$1048576)),"",$R$2*(1+SUM(V$7:V117)))</f>
        <v/>
      </c>
      <c r="Q117" s="191"/>
      <c r="R117" s="189"/>
      <c r="S117" s="53" t="str">
        <f t="shared" si="9"/>
        <v/>
      </c>
      <c r="T117" s="63" t="str">
        <f t="shared" si="10"/>
        <v/>
      </c>
      <c r="U117" s="64" t="str">
        <f>IF(OR(ISBLANK(Trades!R117), ISBLANK(Trades!H117), ISBLANK(Trades!I117)), "", IF(Trades!H117=Trades!I117, "N/A", (Trades!R117-Trades!H117)/(Trades!H117-Trades!I117)))</f>
        <v/>
      </c>
      <c r="V117" s="65" t="str">
        <f t="shared" si="11"/>
        <v/>
      </c>
      <c r="W117" s="66" t="str">
        <f t="shared" si="12"/>
        <v/>
      </c>
      <c r="X117" s="62" t="str">
        <f t="shared" si="13"/>
        <v/>
      </c>
      <c r="Y117" s="45"/>
      <c r="Z117" s="44"/>
      <c r="AA117" s="41"/>
      <c r="AB117" s="39"/>
      <c r="AC117" s="37" t="str">
        <f t="shared" si="14"/>
        <v/>
      </c>
    </row>
    <row r="118" spans="2:29" x14ac:dyDescent="0.25">
      <c r="B118" s="54">
        <v>112</v>
      </c>
      <c r="C118" s="168"/>
      <c r="D118" s="51"/>
      <c r="E118" s="29"/>
      <c r="F118" s="48"/>
      <c r="G118" s="29"/>
      <c r="H118" s="187"/>
      <c r="I118" s="187"/>
      <c r="J118" s="195"/>
      <c r="K118" s="86" t="str">
        <f t="shared" si="8"/>
        <v/>
      </c>
      <c r="L118" s="57" t="str">
        <f t="shared" si="15"/>
        <v/>
      </c>
      <c r="M118" s="186"/>
      <c r="N118" s="189"/>
      <c r="O118" s="190"/>
      <c r="P118" s="190" t="str">
        <f>IF(OR(ISBLANK(V118),COUNTBLANK(V118:$V$1048576)=ROWS(V118:$V$1048576)),"",$R$2*(1+SUM(V$7:V118)))</f>
        <v/>
      </c>
      <c r="Q118" s="191"/>
      <c r="R118" s="189"/>
      <c r="S118" s="53" t="str">
        <f t="shared" si="9"/>
        <v/>
      </c>
      <c r="T118" s="63" t="str">
        <f t="shared" si="10"/>
        <v/>
      </c>
      <c r="U118" s="64" t="str">
        <f>IF(OR(ISBLANK(Trades!R118), ISBLANK(Trades!H118), ISBLANK(Trades!I118)), "", IF(Trades!H118=Trades!I118, "N/A", (Trades!R118-Trades!H118)/(Trades!H118-Trades!I118)))</f>
        <v/>
      </c>
      <c r="V118" s="65" t="str">
        <f t="shared" si="11"/>
        <v/>
      </c>
      <c r="W118" s="66" t="str">
        <f t="shared" si="12"/>
        <v/>
      </c>
      <c r="X118" s="62" t="str">
        <f t="shared" si="13"/>
        <v/>
      </c>
      <c r="Y118" s="45"/>
      <c r="Z118" s="44"/>
      <c r="AA118" s="41"/>
      <c r="AB118" s="39"/>
      <c r="AC118" s="37" t="str">
        <f t="shared" si="14"/>
        <v/>
      </c>
    </row>
    <row r="119" spans="2:29" x14ac:dyDescent="0.25">
      <c r="B119" s="54">
        <v>113</v>
      </c>
      <c r="C119" s="168"/>
      <c r="D119" s="51"/>
      <c r="E119" s="29"/>
      <c r="F119" s="48"/>
      <c r="G119" s="29"/>
      <c r="H119" s="187"/>
      <c r="I119" s="187"/>
      <c r="J119" s="195"/>
      <c r="K119" s="86" t="str">
        <f t="shared" si="8"/>
        <v/>
      </c>
      <c r="L119" s="57" t="str">
        <f t="shared" si="15"/>
        <v/>
      </c>
      <c r="M119" s="186"/>
      <c r="N119" s="189"/>
      <c r="O119" s="190"/>
      <c r="P119" s="190" t="str">
        <f>IF(OR(ISBLANK(V119),COUNTBLANK(V119:$V$1048576)=ROWS(V119:$V$1048576)),"",$R$2*(1+SUM(V$7:V119)))</f>
        <v/>
      </c>
      <c r="Q119" s="191"/>
      <c r="R119" s="189"/>
      <c r="S119" s="53" t="str">
        <f t="shared" si="9"/>
        <v/>
      </c>
      <c r="T119" s="63" t="str">
        <f t="shared" si="10"/>
        <v/>
      </c>
      <c r="U119" s="64" t="str">
        <f>IF(OR(ISBLANK(Trades!R119), ISBLANK(Trades!H119), ISBLANK(Trades!I119)), "", IF(Trades!H119=Trades!I119, "N/A", (Trades!R119-Trades!H119)/(Trades!H119-Trades!I119)))</f>
        <v/>
      </c>
      <c r="V119" s="65" t="str">
        <f t="shared" si="11"/>
        <v/>
      </c>
      <c r="W119" s="66" t="str">
        <f t="shared" si="12"/>
        <v/>
      </c>
      <c r="X119" s="62" t="str">
        <f t="shared" si="13"/>
        <v/>
      </c>
      <c r="Y119" s="45"/>
      <c r="Z119" s="44"/>
      <c r="AA119" s="41"/>
      <c r="AB119" s="39"/>
      <c r="AC119" s="37" t="str">
        <f t="shared" si="14"/>
        <v/>
      </c>
    </row>
    <row r="120" spans="2:29" x14ac:dyDescent="0.25">
      <c r="B120" s="54">
        <v>114</v>
      </c>
      <c r="C120" s="168"/>
      <c r="D120" s="51"/>
      <c r="E120" s="29"/>
      <c r="F120" s="48"/>
      <c r="G120" s="29"/>
      <c r="H120" s="187"/>
      <c r="I120" s="187"/>
      <c r="J120" s="195"/>
      <c r="K120" s="86" t="str">
        <f t="shared" si="8"/>
        <v/>
      </c>
      <c r="L120" s="57" t="str">
        <f t="shared" si="15"/>
        <v/>
      </c>
      <c r="M120" s="186"/>
      <c r="N120" s="189"/>
      <c r="O120" s="190"/>
      <c r="P120" s="190" t="str">
        <f>IF(OR(ISBLANK(V120),COUNTBLANK(V120:$V$1048576)=ROWS(V120:$V$1048576)),"",$R$2*(1+SUM(V$7:V120)))</f>
        <v/>
      </c>
      <c r="Q120" s="191"/>
      <c r="R120" s="189"/>
      <c r="S120" s="53" t="str">
        <f t="shared" si="9"/>
        <v/>
      </c>
      <c r="T120" s="63" t="str">
        <f t="shared" si="10"/>
        <v/>
      </c>
      <c r="U120" s="64" t="str">
        <f>IF(OR(ISBLANK(Trades!R120), ISBLANK(Trades!H120), ISBLANK(Trades!I120)), "", IF(Trades!H120=Trades!I120, "N/A", (Trades!R120-Trades!H120)/(Trades!H120-Trades!I120)))</f>
        <v/>
      </c>
      <c r="V120" s="65" t="str">
        <f t="shared" si="11"/>
        <v/>
      </c>
      <c r="W120" s="66" t="str">
        <f t="shared" si="12"/>
        <v/>
      </c>
      <c r="X120" s="62" t="str">
        <f t="shared" si="13"/>
        <v/>
      </c>
      <c r="Y120" s="45"/>
      <c r="Z120" s="44"/>
      <c r="AA120" s="41"/>
      <c r="AB120" s="39"/>
      <c r="AC120" s="37" t="str">
        <f t="shared" si="14"/>
        <v/>
      </c>
    </row>
    <row r="121" spans="2:29" x14ac:dyDescent="0.25">
      <c r="B121" s="54">
        <v>115</v>
      </c>
      <c r="C121" s="168"/>
      <c r="D121" s="51"/>
      <c r="E121" s="29"/>
      <c r="F121" s="48"/>
      <c r="G121" s="29"/>
      <c r="H121" s="187"/>
      <c r="I121" s="187"/>
      <c r="J121" s="195"/>
      <c r="K121" s="86" t="str">
        <f t="shared" si="8"/>
        <v/>
      </c>
      <c r="L121" s="57" t="str">
        <f t="shared" si="15"/>
        <v/>
      </c>
      <c r="M121" s="186"/>
      <c r="N121" s="189"/>
      <c r="O121" s="190"/>
      <c r="P121" s="190" t="str">
        <f>IF(OR(ISBLANK(V121),COUNTBLANK(V121:$V$1048576)=ROWS(V121:$V$1048576)),"",$R$2*(1+SUM(V$7:V121)))</f>
        <v/>
      </c>
      <c r="Q121" s="191"/>
      <c r="R121" s="189"/>
      <c r="S121" s="53" t="str">
        <f t="shared" si="9"/>
        <v/>
      </c>
      <c r="T121" s="63" t="str">
        <f t="shared" si="10"/>
        <v/>
      </c>
      <c r="U121" s="64" t="str">
        <f>IF(OR(ISBLANK(Trades!R121), ISBLANK(Trades!H121), ISBLANK(Trades!I121)), "", IF(Trades!H121=Trades!I121, "N/A", (Trades!R121-Trades!H121)/(Trades!H121-Trades!I121)))</f>
        <v/>
      </c>
      <c r="V121" s="65" t="str">
        <f t="shared" si="11"/>
        <v/>
      </c>
      <c r="W121" s="66" t="str">
        <f t="shared" si="12"/>
        <v/>
      </c>
      <c r="X121" s="62" t="str">
        <f t="shared" si="13"/>
        <v/>
      </c>
      <c r="Y121" s="45"/>
      <c r="Z121" s="44"/>
      <c r="AA121" s="41"/>
      <c r="AB121" s="39"/>
      <c r="AC121" s="37" t="str">
        <f t="shared" si="14"/>
        <v/>
      </c>
    </row>
    <row r="122" spans="2:29" x14ac:dyDescent="0.25">
      <c r="B122" s="54">
        <v>116</v>
      </c>
      <c r="C122" s="168"/>
      <c r="D122" s="51"/>
      <c r="E122" s="29"/>
      <c r="F122" s="48"/>
      <c r="G122" s="29"/>
      <c r="H122" s="187"/>
      <c r="I122" s="187"/>
      <c r="J122" s="195"/>
      <c r="K122" s="86" t="str">
        <f t="shared" si="8"/>
        <v/>
      </c>
      <c r="L122" s="57" t="str">
        <f t="shared" si="15"/>
        <v/>
      </c>
      <c r="M122" s="186"/>
      <c r="N122" s="189"/>
      <c r="O122" s="190"/>
      <c r="P122" s="190" t="str">
        <f>IF(OR(ISBLANK(V122),COUNTBLANK(V122:$V$1048576)=ROWS(V122:$V$1048576)),"",$R$2*(1+SUM(V$7:V122)))</f>
        <v/>
      </c>
      <c r="Q122" s="191"/>
      <c r="R122" s="189"/>
      <c r="S122" s="53" t="str">
        <f t="shared" si="9"/>
        <v/>
      </c>
      <c r="T122" s="63" t="str">
        <f t="shared" si="10"/>
        <v/>
      </c>
      <c r="U122" s="64" t="str">
        <f>IF(OR(ISBLANK(Trades!R122), ISBLANK(Trades!H122), ISBLANK(Trades!I122)), "", IF(Trades!H122=Trades!I122, "N/A", (Trades!R122-Trades!H122)/(Trades!H122-Trades!I122)))</f>
        <v/>
      </c>
      <c r="V122" s="65" t="str">
        <f t="shared" si="11"/>
        <v/>
      </c>
      <c r="W122" s="66" t="str">
        <f t="shared" si="12"/>
        <v/>
      </c>
      <c r="X122" s="62" t="str">
        <f t="shared" si="13"/>
        <v/>
      </c>
      <c r="Y122" s="45"/>
      <c r="Z122" s="44"/>
      <c r="AA122" s="41"/>
      <c r="AB122" s="39"/>
      <c r="AC122" s="37" t="str">
        <f t="shared" si="14"/>
        <v/>
      </c>
    </row>
    <row r="123" spans="2:29" x14ac:dyDescent="0.25">
      <c r="B123" s="54">
        <v>117</v>
      </c>
      <c r="C123" s="168"/>
      <c r="D123" s="51"/>
      <c r="E123" s="29"/>
      <c r="F123" s="48"/>
      <c r="G123" s="29"/>
      <c r="H123" s="187"/>
      <c r="I123" s="187"/>
      <c r="J123" s="195"/>
      <c r="K123" s="86" t="str">
        <f t="shared" si="8"/>
        <v/>
      </c>
      <c r="L123" s="57" t="str">
        <f t="shared" si="15"/>
        <v/>
      </c>
      <c r="M123" s="186"/>
      <c r="N123" s="189"/>
      <c r="O123" s="190"/>
      <c r="P123" s="190" t="str">
        <f>IF(OR(ISBLANK(V123),COUNTBLANK(V123:$V$1048576)=ROWS(V123:$V$1048576)),"",$R$2*(1+SUM(V$7:V123)))</f>
        <v/>
      </c>
      <c r="Q123" s="191"/>
      <c r="R123" s="189"/>
      <c r="S123" s="53" t="str">
        <f t="shared" si="9"/>
        <v/>
      </c>
      <c r="T123" s="63" t="str">
        <f t="shared" si="10"/>
        <v/>
      </c>
      <c r="U123" s="64" t="str">
        <f>IF(OR(ISBLANK(Trades!R123), ISBLANK(Trades!H123), ISBLANK(Trades!I123)), "", IF(Trades!H123=Trades!I123, "N/A", (Trades!R123-Trades!H123)/(Trades!H123-Trades!I123)))</f>
        <v/>
      </c>
      <c r="V123" s="65" t="str">
        <f t="shared" si="11"/>
        <v/>
      </c>
      <c r="W123" s="66" t="str">
        <f t="shared" si="12"/>
        <v/>
      </c>
      <c r="X123" s="62" t="str">
        <f t="shared" si="13"/>
        <v/>
      </c>
      <c r="Y123" s="45"/>
      <c r="Z123" s="44"/>
      <c r="AA123" s="41"/>
      <c r="AB123" s="39"/>
      <c r="AC123" s="37" t="str">
        <f t="shared" si="14"/>
        <v/>
      </c>
    </row>
    <row r="124" spans="2:29" x14ac:dyDescent="0.25">
      <c r="B124" s="54">
        <v>118</v>
      </c>
      <c r="C124" s="168"/>
      <c r="D124" s="51"/>
      <c r="E124" s="29"/>
      <c r="F124" s="48"/>
      <c r="G124" s="29"/>
      <c r="H124" s="187"/>
      <c r="I124" s="187"/>
      <c r="J124" s="195"/>
      <c r="K124" s="86" t="str">
        <f t="shared" si="8"/>
        <v/>
      </c>
      <c r="L124" s="57" t="str">
        <f t="shared" si="15"/>
        <v/>
      </c>
      <c r="M124" s="186"/>
      <c r="N124" s="189"/>
      <c r="O124" s="190"/>
      <c r="P124" s="190" t="str">
        <f>IF(OR(ISBLANK(V124),COUNTBLANK(V124:$V$1048576)=ROWS(V124:$V$1048576)),"",$R$2*(1+SUM(V$7:V124)))</f>
        <v/>
      </c>
      <c r="Q124" s="191"/>
      <c r="R124" s="189"/>
      <c r="S124" s="53" t="str">
        <f t="shared" si="9"/>
        <v/>
      </c>
      <c r="T124" s="63" t="str">
        <f t="shared" si="10"/>
        <v/>
      </c>
      <c r="U124" s="64" t="str">
        <f>IF(OR(ISBLANK(Trades!R124), ISBLANK(Trades!H124), ISBLANK(Trades!I124)), "", IF(Trades!H124=Trades!I124, "N/A", (Trades!R124-Trades!H124)/(Trades!H124-Trades!I124)))</f>
        <v/>
      </c>
      <c r="V124" s="65" t="str">
        <f t="shared" si="11"/>
        <v/>
      </c>
      <c r="W124" s="66" t="str">
        <f t="shared" si="12"/>
        <v/>
      </c>
      <c r="X124" s="62" t="str">
        <f t="shared" si="13"/>
        <v/>
      </c>
      <c r="Y124" s="45"/>
      <c r="Z124" s="44"/>
      <c r="AA124" s="41"/>
      <c r="AB124" s="39"/>
      <c r="AC124" s="37" t="str">
        <f t="shared" si="14"/>
        <v/>
      </c>
    </row>
    <row r="125" spans="2:29" x14ac:dyDescent="0.25">
      <c r="B125" s="54">
        <v>119</v>
      </c>
      <c r="C125" s="168"/>
      <c r="D125" s="51"/>
      <c r="E125" s="29"/>
      <c r="F125" s="48"/>
      <c r="G125" s="29"/>
      <c r="H125" s="187"/>
      <c r="I125" s="187"/>
      <c r="J125" s="195"/>
      <c r="K125" s="86" t="str">
        <f t="shared" si="8"/>
        <v/>
      </c>
      <c r="L125" s="57" t="str">
        <f t="shared" si="15"/>
        <v/>
      </c>
      <c r="M125" s="186"/>
      <c r="N125" s="189"/>
      <c r="O125" s="190"/>
      <c r="P125" s="190" t="str">
        <f>IF(OR(ISBLANK(V125),COUNTBLANK(V125:$V$1048576)=ROWS(V125:$V$1048576)),"",$R$2*(1+SUM(V$7:V125)))</f>
        <v/>
      </c>
      <c r="Q125" s="191"/>
      <c r="R125" s="189"/>
      <c r="S125" s="53" t="str">
        <f t="shared" si="9"/>
        <v/>
      </c>
      <c r="T125" s="63" t="str">
        <f t="shared" si="10"/>
        <v/>
      </c>
      <c r="U125" s="64" t="str">
        <f>IF(OR(ISBLANK(Trades!R125), ISBLANK(Trades!H125), ISBLANK(Trades!I125)), "", IF(Trades!H125=Trades!I125, "N/A", (Trades!R125-Trades!H125)/(Trades!H125-Trades!I125)))</f>
        <v/>
      </c>
      <c r="V125" s="65" t="str">
        <f t="shared" si="11"/>
        <v/>
      </c>
      <c r="W125" s="66" t="str">
        <f t="shared" si="12"/>
        <v/>
      </c>
      <c r="X125" s="62" t="str">
        <f t="shared" si="13"/>
        <v/>
      </c>
      <c r="Y125" s="45"/>
      <c r="Z125" s="44"/>
      <c r="AA125" s="41"/>
      <c r="AB125" s="39"/>
      <c r="AC125" s="37" t="str">
        <f t="shared" si="14"/>
        <v/>
      </c>
    </row>
    <row r="126" spans="2:29" x14ac:dyDescent="0.25">
      <c r="B126" s="54">
        <v>120</v>
      </c>
      <c r="C126" s="168"/>
      <c r="D126" s="51"/>
      <c r="E126" s="29"/>
      <c r="F126" s="48"/>
      <c r="G126" s="29"/>
      <c r="H126" s="187"/>
      <c r="I126" s="187"/>
      <c r="J126" s="195"/>
      <c r="K126" s="86" t="str">
        <f t="shared" si="8"/>
        <v/>
      </c>
      <c r="L126" s="57" t="str">
        <f t="shared" si="15"/>
        <v/>
      </c>
      <c r="M126" s="186"/>
      <c r="N126" s="189"/>
      <c r="O126" s="190"/>
      <c r="P126" s="190" t="str">
        <f>IF(OR(ISBLANK(V126),COUNTBLANK(V126:$V$1048576)=ROWS(V126:$V$1048576)),"",$R$2*(1+SUM(V$7:V126)))</f>
        <v/>
      </c>
      <c r="Q126" s="191"/>
      <c r="R126" s="189"/>
      <c r="S126" s="53" t="str">
        <f t="shared" si="9"/>
        <v/>
      </c>
      <c r="T126" s="63" t="str">
        <f t="shared" si="10"/>
        <v/>
      </c>
      <c r="U126" s="64" t="str">
        <f>IF(OR(ISBLANK(Trades!R126), ISBLANK(Trades!H126), ISBLANK(Trades!I126)), "", IF(Trades!H126=Trades!I126, "N/A", (Trades!R126-Trades!H126)/(Trades!H126-Trades!I126)))</f>
        <v/>
      </c>
      <c r="V126" s="65" t="str">
        <f t="shared" si="11"/>
        <v/>
      </c>
      <c r="W126" s="66" t="str">
        <f t="shared" si="12"/>
        <v/>
      </c>
      <c r="X126" s="62" t="str">
        <f t="shared" si="13"/>
        <v/>
      </c>
      <c r="Y126" s="45"/>
      <c r="Z126" s="44"/>
      <c r="AA126" s="41"/>
      <c r="AB126" s="39"/>
      <c r="AC126" s="37" t="str">
        <f t="shared" si="14"/>
        <v/>
      </c>
    </row>
    <row r="127" spans="2:29" x14ac:dyDescent="0.25">
      <c r="B127" s="54">
        <v>121</v>
      </c>
      <c r="C127" s="168"/>
      <c r="D127" s="51"/>
      <c r="E127" s="29"/>
      <c r="F127" s="48"/>
      <c r="G127" s="29"/>
      <c r="H127" s="187"/>
      <c r="I127" s="187"/>
      <c r="J127" s="195"/>
      <c r="K127" s="86" t="str">
        <f t="shared" si="8"/>
        <v/>
      </c>
      <c r="L127" s="57" t="str">
        <f t="shared" si="15"/>
        <v/>
      </c>
      <c r="M127" s="186"/>
      <c r="N127" s="189"/>
      <c r="O127" s="190"/>
      <c r="P127" s="190" t="str">
        <f>IF(OR(ISBLANK(V127),COUNTBLANK(V127:$V$1048576)=ROWS(V127:$V$1048576)),"",$R$2*(1+SUM(V$7:V127)))</f>
        <v/>
      </c>
      <c r="Q127" s="191"/>
      <c r="R127" s="189"/>
      <c r="S127" s="53" t="str">
        <f t="shared" si="9"/>
        <v/>
      </c>
      <c r="T127" s="63" t="str">
        <f t="shared" si="10"/>
        <v/>
      </c>
      <c r="U127" s="64" t="str">
        <f>IF(OR(ISBLANK(Trades!R127), ISBLANK(Trades!H127), ISBLANK(Trades!I127)), "", IF(Trades!H127=Trades!I127, "N/A", (Trades!R127-Trades!H127)/(Trades!H127-Trades!I127)))</f>
        <v/>
      </c>
      <c r="V127" s="65" t="str">
        <f t="shared" si="11"/>
        <v/>
      </c>
      <c r="W127" s="66" t="str">
        <f t="shared" si="12"/>
        <v/>
      </c>
      <c r="X127" s="62" t="str">
        <f t="shared" si="13"/>
        <v/>
      </c>
      <c r="Y127" s="45"/>
      <c r="Z127" s="44"/>
      <c r="AA127" s="41"/>
      <c r="AB127" s="39"/>
      <c r="AC127" s="37" t="str">
        <f t="shared" si="14"/>
        <v/>
      </c>
    </row>
    <row r="128" spans="2:29" x14ac:dyDescent="0.25">
      <c r="B128" s="54">
        <v>122</v>
      </c>
      <c r="C128" s="168"/>
      <c r="D128" s="51"/>
      <c r="E128" s="29"/>
      <c r="F128" s="48"/>
      <c r="G128" s="29"/>
      <c r="H128" s="187"/>
      <c r="I128" s="187"/>
      <c r="J128" s="195"/>
      <c r="K128" s="86" t="str">
        <f t="shared" si="8"/>
        <v/>
      </c>
      <c r="L128" s="57" t="str">
        <f t="shared" si="15"/>
        <v/>
      </c>
      <c r="M128" s="186"/>
      <c r="N128" s="189"/>
      <c r="O128" s="190"/>
      <c r="P128" s="190" t="str">
        <f>IF(OR(ISBLANK(V128),COUNTBLANK(V128:$V$1048576)=ROWS(V128:$V$1048576)),"",$R$2*(1+SUM(V$7:V128)))</f>
        <v/>
      </c>
      <c r="Q128" s="191"/>
      <c r="R128" s="189"/>
      <c r="S128" s="53" t="str">
        <f t="shared" si="9"/>
        <v/>
      </c>
      <c r="T128" s="63" t="str">
        <f t="shared" si="10"/>
        <v/>
      </c>
      <c r="U128" s="64" t="str">
        <f>IF(OR(ISBLANK(Trades!R128), ISBLANK(Trades!H128), ISBLANK(Trades!I128)), "", IF(Trades!H128=Trades!I128, "N/A", (Trades!R128-Trades!H128)/(Trades!H128-Trades!I128)))</f>
        <v/>
      </c>
      <c r="V128" s="65" t="str">
        <f t="shared" si="11"/>
        <v/>
      </c>
      <c r="W128" s="66" t="str">
        <f t="shared" si="12"/>
        <v/>
      </c>
      <c r="X128" s="62" t="str">
        <f t="shared" si="13"/>
        <v/>
      </c>
      <c r="Y128" s="45"/>
      <c r="Z128" s="44"/>
      <c r="AA128" s="41"/>
      <c r="AB128" s="39"/>
      <c r="AC128" s="37" t="str">
        <f t="shared" si="14"/>
        <v/>
      </c>
    </row>
    <row r="129" spans="2:29" x14ac:dyDescent="0.25">
      <c r="B129" s="54">
        <v>123</v>
      </c>
      <c r="C129" s="168"/>
      <c r="D129" s="51"/>
      <c r="E129" s="29"/>
      <c r="F129" s="48"/>
      <c r="G129" s="29"/>
      <c r="H129" s="187"/>
      <c r="I129" s="187"/>
      <c r="J129" s="195"/>
      <c r="K129" s="86" t="str">
        <f t="shared" si="8"/>
        <v/>
      </c>
      <c r="L129" s="57" t="str">
        <f t="shared" si="15"/>
        <v/>
      </c>
      <c r="M129" s="186"/>
      <c r="N129" s="189"/>
      <c r="O129" s="190"/>
      <c r="P129" s="190" t="str">
        <f>IF(OR(ISBLANK(V129),COUNTBLANK(V129:$V$1048576)=ROWS(V129:$V$1048576)),"",$R$2*(1+SUM(V$7:V129)))</f>
        <v/>
      </c>
      <c r="Q129" s="191"/>
      <c r="R129" s="189"/>
      <c r="S129" s="53" t="str">
        <f t="shared" si="9"/>
        <v/>
      </c>
      <c r="T129" s="63" t="str">
        <f t="shared" si="10"/>
        <v/>
      </c>
      <c r="U129" s="64" t="str">
        <f>IF(OR(ISBLANK(Trades!R129), ISBLANK(Trades!H129), ISBLANK(Trades!I129)), "", IF(Trades!H129=Trades!I129, "N/A", (Trades!R129-Trades!H129)/(Trades!H129-Trades!I129)))</f>
        <v/>
      </c>
      <c r="V129" s="65" t="str">
        <f t="shared" si="11"/>
        <v/>
      </c>
      <c r="W129" s="66" t="str">
        <f t="shared" si="12"/>
        <v/>
      </c>
      <c r="X129" s="62" t="str">
        <f t="shared" si="13"/>
        <v/>
      </c>
      <c r="Y129" s="45"/>
      <c r="Z129" s="44"/>
      <c r="AA129" s="41"/>
      <c r="AB129" s="39"/>
      <c r="AC129" s="37" t="str">
        <f t="shared" si="14"/>
        <v/>
      </c>
    </row>
    <row r="130" spans="2:29" x14ac:dyDescent="0.25">
      <c r="B130" s="54">
        <v>124</v>
      </c>
      <c r="C130" s="168"/>
      <c r="D130" s="51"/>
      <c r="E130" s="29"/>
      <c r="F130" s="48"/>
      <c r="G130" s="29"/>
      <c r="H130" s="187"/>
      <c r="I130" s="187"/>
      <c r="J130" s="195"/>
      <c r="K130" s="86" t="str">
        <f t="shared" si="8"/>
        <v/>
      </c>
      <c r="L130" s="57" t="str">
        <f t="shared" si="15"/>
        <v/>
      </c>
      <c r="M130" s="186"/>
      <c r="N130" s="189"/>
      <c r="O130" s="190"/>
      <c r="P130" s="190" t="str">
        <f>IF(OR(ISBLANK(V130),COUNTBLANK(V130:$V$1048576)=ROWS(V130:$V$1048576)),"",$R$2*(1+SUM(V$7:V130)))</f>
        <v/>
      </c>
      <c r="Q130" s="191"/>
      <c r="R130" s="189"/>
      <c r="S130" s="53" t="str">
        <f t="shared" si="9"/>
        <v/>
      </c>
      <c r="T130" s="63" t="str">
        <f t="shared" si="10"/>
        <v/>
      </c>
      <c r="U130" s="64" t="str">
        <f>IF(OR(ISBLANK(Trades!R130), ISBLANK(Trades!H130), ISBLANK(Trades!I130)), "", IF(Trades!H130=Trades!I130, "N/A", (Trades!R130-Trades!H130)/(Trades!H130-Trades!I130)))</f>
        <v/>
      </c>
      <c r="V130" s="65" t="str">
        <f t="shared" si="11"/>
        <v/>
      </c>
      <c r="W130" s="66" t="str">
        <f t="shared" si="12"/>
        <v/>
      </c>
      <c r="X130" s="62" t="str">
        <f t="shared" si="13"/>
        <v/>
      </c>
      <c r="Y130" s="45"/>
      <c r="Z130" s="44"/>
      <c r="AA130" s="41"/>
      <c r="AB130" s="39"/>
      <c r="AC130" s="37" t="str">
        <f t="shared" si="14"/>
        <v/>
      </c>
    </row>
    <row r="131" spans="2:29" x14ac:dyDescent="0.25">
      <c r="B131" s="54">
        <v>125</v>
      </c>
      <c r="C131" s="168"/>
      <c r="D131" s="51"/>
      <c r="E131" s="29"/>
      <c r="F131" s="48"/>
      <c r="G131" s="29"/>
      <c r="H131" s="187"/>
      <c r="I131" s="187"/>
      <c r="J131" s="195"/>
      <c r="K131" s="86" t="str">
        <f t="shared" si="8"/>
        <v/>
      </c>
      <c r="L131" s="57" t="str">
        <f t="shared" si="15"/>
        <v/>
      </c>
      <c r="M131" s="186"/>
      <c r="N131" s="189"/>
      <c r="O131" s="190"/>
      <c r="P131" s="190" t="str">
        <f>IF(OR(ISBLANK(V131),COUNTBLANK(V131:$V$1048576)=ROWS(V131:$V$1048576)),"",$R$2*(1+SUM(V$7:V131)))</f>
        <v/>
      </c>
      <c r="Q131" s="191"/>
      <c r="R131" s="189"/>
      <c r="S131" s="53" t="str">
        <f t="shared" si="9"/>
        <v/>
      </c>
      <c r="T131" s="63" t="str">
        <f t="shared" si="10"/>
        <v/>
      </c>
      <c r="U131" s="64" t="str">
        <f>IF(OR(ISBLANK(Trades!R131), ISBLANK(Trades!H131), ISBLANK(Trades!I131)), "", IF(Trades!H131=Trades!I131, "N/A", (Trades!R131-Trades!H131)/(Trades!H131-Trades!I131)))</f>
        <v/>
      </c>
      <c r="V131" s="65" t="str">
        <f t="shared" si="11"/>
        <v/>
      </c>
      <c r="W131" s="66" t="str">
        <f t="shared" si="12"/>
        <v/>
      </c>
      <c r="X131" s="62" t="str">
        <f t="shared" si="13"/>
        <v/>
      </c>
      <c r="Y131" s="45"/>
      <c r="Z131" s="44"/>
      <c r="AA131" s="41"/>
      <c r="AB131" s="39"/>
      <c r="AC131" s="37" t="str">
        <f t="shared" si="14"/>
        <v/>
      </c>
    </row>
    <row r="132" spans="2:29" x14ac:dyDescent="0.25">
      <c r="B132" s="54">
        <v>126</v>
      </c>
      <c r="C132" s="168"/>
      <c r="D132" s="51"/>
      <c r="E132" s="29"/>
      <c r="F132" s="48"/>
      <c r="G132" s="29"/>
      <c r="H132" s="187"/>
      <c r="I132" s="187"/>
      <c r="J132" s="195"/>
      <c r="K132" s="86" t="str">
        <f t="shared" si="8"/>
        <v/>
      </c>
      <c r="L132" s="57" t="str">
        <f t="shared" si="15"/>
        <v/>
      </c>
      <c r="M132" s="186"/>
      <c r="N132" s="189"/>
      <c r="O132" s="190"/>
      <c r="P132" s="190" t="str">
        <f>IF(OR(ISBLANK(V132),COUNTBLANK(V132:$V$1048576)=ROWS(V132:$V$1048576)),"",$R$2*(1+SUM(V$7:V132)))</f>
        <v/>
      </c>
      <c r="Q132" s="191"/>
      <c r="R132" s="189"/>
      <c r="S132" s="53" t="str">
        <f t="shared" si="9"/>
        <v/>
      </c>
      <c r="T132" s="63" t="str">
        <f t="shared" si="10"/>
        <v/>
      </c>
      <c r="U132" s="64" t="str">
        <f>IF(OR(ISBLANK(Trades!R132), ISBLANK(Trades!H132), ISBLANK(Trades!I132)), "", IF(Trades!H132=Trades!I132, "N/A", (Trades!R132-Trades!H132)/(Trades!H132-Trades!I132)))</f>
        <v/>
      </c>
      <c r="V132" s="65" t="str">
        <f t="shared" si="11"/>
        <v/>
      </c>
      <c r="W132" s="66" t="str">
        <f t="shared" si="12"/>
        <v/>
      </c>
      <c r="X132" s="62" t="str">
        <f t="shared" si="13"/>
        <v/>
      </c>
      <c r="Y132" s="45"/>
      <c r="Z132" s="44"/>
      <c r="AA132" s="41"/>
      <c r="AB132" s="39"/>
      <c r="AC132" s="37" t="str">
        <f t="shared" si="14"/>
        <v/>
      </c>
    </row>
    <row r="133" spans="2:29" x14ac:dyDescent="0.25">
      <c r="B133" s="54">
        <v>127</v>
      </c>
      <c r="C133" s="168"/>
      <c r="D133" s="51"/>
      <c r="E133" s="29"/>
      <c r="F133" s="48"/>
      <c r="G133" s="29"/>
      <c r="H133" s="187"/>
      <c r="I133" s="187"/>
      <c r="J133" s="195"/>
      <c r="K133" s="86" t="str">
        <f t="shared" si="8"/>
        <v/>
      </c>
      <c r="L133" s="57" t="str">
        <f t="shared" si="15"/>
        <v/>
      </c>
      <c r="M133" s="186"/>
      <c r="N133" s="189"/>
      <c r="O133" s="190"/>
      <c r="P133" s="190" t="str">
        <f>IF(OR(ISBLANK(V133),COUNTBLANK(V133:$V$1048576)=ROWS(V133:$V$1048576)),"",$R$2*(1+SUM(V$7:V133)))</f>
        <v/>
      </c>
      <c r="Q133" s="191"/>
      <c r="R133" s="189"/>
      <c r="S133" s="53" t="str">
        <f t="shared" si="9"/>
        <v/>
      </c>
      <c r="T133" s="63" t="str">
        <f t="shared" si="10"/>
        <v/>
      </c>
      <c r="U133" s="64" t="str">
        <f>IF(OR(ISBLANK(Trades!R133), ISBLANK(Trades!H133), ISBLANK(Trades!I133)), "", IF(Trades!H133=Trades!I133, "N/A", (Trades!R133-Trades!H133)/(Trades!H133-Trades!I133)))</f>
        <v/>
      </c>
      <c r="V133" s="65" t="str">
        <f t="shared" si="11"/>
        <v/>
      </c>
      <c r="W133" s="66" t="str">
        <f t="shared" si="12"/>
        <v/>
      </c>
      <c r="X133" s="62" t="str">
        <f t="shared" si="13"/>
        <v/>
      </c>
      <c r="Y133" s="45"/>
      <c r="Z133" s="44"/>
      <c r="AA133" s="41"/>
      <c r="AB133" s="39"/>
      <c r="AC133" s="37" t="str">
        <f t="shared" si="14"/>
        <v/>
      </c>
    </row>
    <row r="134" spans="2:29" x14ac:dyDescent="0.25">
      <c r="B134" s="54">
        <v>128</v>
      </c>
      <c r="C134" s="168"/>
      <c r="D134" s="51"/>
      <c r="E134" s="29"/>
      <c r="F134" s="48"/>
      <c r="G134" s="29"/>
      <c r="H134" s="187"/>
      <c r="I134" s="187"/>
      <c r="J134" s="195"/>
      <c r="K134" s="86" t="str">
        <f t="shared" si="8"/>
        <v/>
      </c>
      <c r="L134" s="57" t="str">
        <f t="shared" si="15"/>
        <v/>
      </c>
      <c r="M134" s="186"/>
      <c r="N134" s="189"/>
      <c r="O134" s="190"/>
      <c r="P134" s="190" t="str">
        <f>IF(OR(ISBLANK(V134),COUNTBLANK(V134:$V$1048576)=ROWS(V134:$V$1048576)),"",$R$2*(1+SUM(V$7:V134)))</f>
        <v/>
      </c>
      <c r="Q134" s="191"/>
      <c r="R134" s="189"/>
      <c r="S134" s="53" t="str">
        <f t="shared" si="9"/>
        <v/>
      </c>
      <c r="T134" s="63" t="str">
        <f t="shared" si="10"/>
        <v/>
      </c>
      <c r="U134" s="64" t="str">
        <f>IF(OR(ISBLANK(Trades!R134), ISBLANK(Trades!H134), ISBLANK(Trades!I134)), "", IF(Trades!H134=Trades!I134, "N/A", (Trades!R134-Trades!H134)/(Trades!H134-Trades!I134)))</f>
        <v/>
      </c>
      <c r="V134" s="65" t="str">
        <f t="shared" si="11"/>
        <v/>
      </c>
      <c r="W134" s="66" t="str">
        <f t="shared" si="12"/>
        <v/>
      </c>
      <c r="X134" s="62" t="str">
        <f t="shared" si="13"/>
        <v/>
      </c>
      <c r="Y134" s="45"/>
      <c r="Z134" s="44"/>
      <c r="AA134" s="41"/>
      <c r="AB134" s="39"/>
      <c r="AC134" s="37" t="str">
        <f t="shared" si="14"/>
        <v/>
      </c>
    </row>
    <row r="135" spans="2:29" x14ac:dyDescent="0.25">
      <c r="B135" s="54">
        <v>129</v>
      </c>
      <c r="C135" s="168"/>
      <c r="D135" s="51"/>
      <c r="E135" s="29"/>
      <c r="F135" s="48"/>
      <c r="G135" s="29"/>
      <c r="H135" s="187"/>
      <c r="I135" s="187"/>
      <c r="J135" s="195"/>
      <c r="K135" s="86" t="str">
        <f t="shared" ref="K135:K198" si="16">IF(OR(ISBLANK(H135),ISBLANK(I135)),"",IF(H135 &lt; I135, "SHORT", IF(H135 &gt; I135, "LONG", "")))</f>
        <v/>
      </c>
      <c r="L135" s="57" t="str">
        <f t="shared" si="15"/>
        <v/>
      </c>
      <c r="M135" s="186"/>
      <c r="N135" s="189"/>
      <c r="O135" s="190"/>
      <c r="P135" s="190" t="str">
        <f>IF(OR(ISBLANK(V135),COUNTBLANK(V135:$V$1048576)=ROWS(V135:$V$1048576)),"",$R$2*(1+SUM(V$7:V135)))</f>
        <v/>
      </c>
      <c r="Q135" s="191"/>
      <c r="R135" s="189"/>
      <c r="S135" s="53" t="str">
        <f t="shared" ref="S135:S198" si="17">IF(COUNTIFS($C$7:$C$1000, "&lt;="&amp;C135, $X$7:$X$1000, "Win") = 0, "", IF(COUNTIFS($C$7:$C$1000, "&lt;="&amp;C135, $X$7:$X$1000, "&lt;&gt;"&amp;"") = 0, "", COUNTIFS($C$7:$C$1000, "&lt;="&amp;C135, $X$7:$X$1000, "Win")/COUNTIFS($C$7:$C$1000, "&lt;="&amp;C135, $X$7:$X$1000, "&lt;&gt;"&amp;"")))</f>
        <v/>
      </c>
      <c r="T135" s="63" t="str">
        <f t="shared" ref="T135:T198" si="18">IF(ISBLANK(R135),IF(ISBLANK(H135),"","Open"),"Closed")</f>
        <v/>
      </c>
      <c r="U135" s="64" t="str">
        <f>IF(OR(ISBLANK(Trades!R135), ISBLANK(Trades!H135), ISBLANK(Trades!I135)), "", IF(Trades!H135=Trades!I135, "N/A", (Trades!R135-Trades!H135)/(Trades!H135-Trades!I135)))</f>
        <v/>
      </c>
      <c r="V135" s="65" t="str">
        <f t="shared" ref="V135:V198" si="19">IF(U135="","",U135*F135)</f>
        <v/>
      </c>
      <c r="W135" s="66" t="str">
        <f t="shared" ref="W135:W198" si="20">IF(ISBLANK(R135),"",IF(H135&gt;I135,IF(I135&gt;=R135,"SL Hit",IF(O135&lt;&gt;"","PT3 Hit",IF(N135&lt;&gt;"","PT2 Hit",IF(M135&lt;&gt;"","PT1 Hit","")))),IF(I135&lt;=R135,"SL Hit",IF(O135&lt;&gt;"","PT3 Hit",IF(N135&lt;&gt;"","PT2 Hit",IF(M135&lt;&gt;"","PT1 Hit",""))))))</f>
        <v/>
      </c>
      <c r="X135" s="62" t="str">
        <f t="shared" ref="X135:X198" si="21">IF(ISBLANK(R135),"",IF(H135&gt;I135, IF(R135&gt;=H135, "Win", "Loss"), IF(R135&lt;=H135, "Win", "Loss")))</f>
        <v/>
      </c>
      <c r="Y135" s="45"/>
      <c r="Z135" s="44"/>
      <c r="AA135" s="41"/>
      <c r="AB135" s="39"/>
      <c r="AC135" s="37" t="str">
        <f t="shared" ref="AC135:AC198" si="22">IFERROR(COUNTIFS($C$7:$C$1000,"&gt;="&amp;DATE(YEAR(C135),MONTH(C135),1),$C$7:$C$1000,"&lt;="&amp;EOMONTH(C135,0),$X$7:$X$1000,"Win")/COUNTIFS($C$7:$C$1000,"&gt;="&amp;DATE(YEAR(C135),MONTH(C135),1),$C$7:$C$1000,"&lt;="&amp;EOMONTH(C135,0)),"")</f>
        <v/>
      </c>
    </row>
    <row r="136" spans="2:29" x14ac:dyDescent="0.25">
      <c r="B136" s="54">
        <v>130</v>
      </c>
      <c r="C136" s="168"/>
      <c r="D136" s="51"/>
      <c r="E136" s="29"/>
      <c r="F136" s="48"/>
      <c r="G136" s="29"/>
      <c r="H136" s="187"/>
      <c r="I136" s="187"/>
      <c r="J136" s="195"/>
      <c r="K136" s="86" t="str">
        <f t="shared" si="16"/>
        <v/>
      </c>
      <c r="L136" s="57" t="str">
        <f t="shared" si="15"/>
        <v/>
      </c>
      <c r="M136" s="186"/>
      <c r="N136" s="189"/>
      <c r="O136" s="190"/>
      <c r="P136" s="190" t="str">
        <f>IF(OR(ISBLANK(V136),COUNTBLANK(V136:$V$1048576)=ROWS(V136:$V$1048576)),"",$R$2*(1+SUM(V$7:V136)))</f>
        <v/>
      </c>
      <c r="Q136" s="191"/>
      <c r="R136" s="189"/>
      <c r="S136" s="53" t="str">
        <f t="shared" si="17"/>
        <v/>
      </c>
      <c r="T136" s="63" t="str">
        <f t="shared" si="18"/>
        <v/>
      </c>
      <c r="U136" s="64" t="str">
        <f>IF(OR(ISBLANK(Trades!R136), ISBLANK(Trades!H136), ISBLANK(Trades!I136)), "", IF(Trades!H136=Trades!I136, "N/A", (Trades!R136-Trades!H136)/(Trades!H136-Trades!I136)))</f>
        <v/>
      </c>
      <c r="V136" s="65" t="str">
        <f t="shared" si="19"/>
        <v/>
      </c>
      <c r="W136" s="66" t="str">
        <f t="shared" si="20"/>
        <v/>
      </c>
      <c r="X136" s="62" t="str">
        <f t="shared" si="21"/>
        <v/>
      </c>
      <c r="Y136" s="45"/>
      <c r="Z136" s="44"/>
      <c r="AA136" s="41"/>
      <c r="AB136" s="39"/>
      <c r="AC136" s="37" t="str">
        <f t="shared" si="22"/>
        <v/>
      </c>
    </row>
    <row r="137" spans="2:29" x14ac:dyDescent="0.25">
      <c r="B137" s="54">
        <v>131</v>
      </c>
      <c r="C137" s="168"/>
      <c r="D137" s="51"/>
      <c r="E137" s="29"/>
      <c r="F137" s="48"/>
      <c r="G137" s="29"/>
      <c r="H137" s="187"/>
      <c r="I137" s="187"/>
      <c r="J137" s="195"/>
      <c r="K137" s="86" t="str">
        <f t="shared" si="16"/>
        <v/>
      </c>
      <c r="L137" s="57" t="str">
        <f t="shared" si="15"/>
        <v/>
      </c>
      <c r="M137" s="186"/>
      <c r="N137" s="189"/>
      <c r="O137" s="190"/>
      <c r="P137" s="190" t="str">
        <f>IF(OR(ISBLANK(V137),COUNTBLANK(V137:$V$1048576)=ROWS(V137:$V$1048576)),"",$R$2*(1+SUM(V$7:V137)))</f>
        <v/>
      </c>
      <c r="Q137" s="191"/>
      <c r="R137" s="189"/>
      <c r="S137" s="53" t="str">
        <f t="shared" si="17"/>
        <v/>
      </c>
      <c r="T137" s="63" t="str">
        <f t="shared" si="18"/>
        <v/>
      </c>
      <c r="U137" s="64" t="str">
        <f>IF(OR(ISBLANK(Trades!R137), ISBLANK(Trades!H137), ISBLANK(Trades!I137)), "", IF(Trades!H137=Trades!I137, "N/A", (Trades!R137-Trades!H137)/(Trades!H137-Trades!I137)))</f>
        <v/>
      </c>
      <c r="V137" s="65" t="str">
        <f t="shared" si="19"/>
        <v/>
      </c>
      <c r="W137" s="66" t="str">
        <f t="shared" si="20"/>
        <v/>
      </c>
      <c r="X137" s="62" t="str">
        <f t="shared" si="21"/>
        <v/>
      </c>
      <c r="Y137" s="45"/>
      <c r="Z137" s="44"/>
      <c r="AA137" s="41"/>
      <c r="AB137" s="39"/>
      <c r="AC137" s="37" t="str">
        <f t="shared" si="22"/>
        <v/>
      </c>
    </row>
    <row r="138" spans="2:29" x14ac:dyDescent="0.25">
      <c r="B138" s="54">
        <v>132</v>
      </c>
      <c r="C138" s="168"/>
      <c r="D138" s="51"/>
      <c r="E138" s="29"/>
      <c r="F138" s="48"/>
      <c r="G138" s="29"/>
      <c r="H138" s="187"/>
      <c r="I138" s="187"/>
      <c r="J138" s="195"/>
      <c r="K138" s="86" t="str">
        <f t="shared" si="16"/>
        <v/>
      </c>
      <c r="L138" s="57" t="str">
        <f t="shared" si="15"/>
        <v/>
      </c>
      <c r="M138" s="186"/>
      <c r="N138" s="189"/>
      <c r="O138" s="190"/>
      <c r="P138" s="190" t="str">
        <f>IF(OR(ISBLANK(V138),COUNTBLANK(V138:$V$1048576)=ROWS(V138:$V$1048576)),"",$R$2*(1+SUM(V$7:V138)))</f>
        <v/>
      </c>
      <c r="Q138" s="191"/>
      <c r="R138" s="189"/>
      <c r="S138" s="53" t="str">
        <f t="shared" si="17"/>
        <v/>
      </c>
      <c r="T138" s="63" t="str">
        <f t="shared" si="18"/>
        <v/>
      </c>
      <c r="U138" s="64" t="str">
        <f>IF(OR(ISBLANK(Trades!R138), ISBLANK(Trades!H138), ISBLANK(Trades!I138)), "", IF(Trades!H138=Trades!I138, "N/A", (Trades!R138-Trades!H138)/(Trades!H138-Trades!I138)))</f>
        <v/>
      </c>
      <c r="V138" s="65" t="str">
        <f t="shared" si="19"/>
        <v/>
      </c>
      <c r="W138" s="66" t="str">
        <f t="shared" si="20"/>
        <v/>
      </c>
      <c r="X138" s="62" t="str">
        <f t="shared" si="21"/>
        <v/>
      </c>
      <c r="Y138" s="45"/>
      <c r="Z138" s="44"/>
      <c r="AA138" s="41"/>
      <c r="AB138" s="39"/>
      <c r="AC138" s="37" t="str">
        <f t="shared" si="22"/>
        <v/>
      </c>
    </row>
    <row r="139" spans="2:29" x14ac:dyDescent="0.25">
      <c r="B139" s="54">
        <v>133</v>
      </c>
      <c r="C139" s="168"/>
      <c r="D139" s="51"/>
      <c r="E139" s="29"/>
      <c r="F139" s="48"/>
      <c r="G139" s="29"/>
      <c r="H139" s="187"/>
      <c r="I139" s="187"/>
      <c r="J139" s="195"/>
      <c r="K139" s="86" t="str">
        <f t="shared" si="16"/>
        <v/>
      </c>
      <c r="L139" s="57" t="str">
        <f t="shared" si="15"/>
        <v/>
      </c>
      <c r="M139" s="186"/>
      <c r="N139" s="189"/>
      <c r="O139" s="190"/>
      <c r="P139" s="190" t="str">
        <f>IF(OR(ISBLANK(V139),COUNTBLANK(V139:$V$1048576)=ROWS(V139:$V$1048576)),"",$R$2*(1+SUM(V$7:V139)))</f>
        <v/>
      </c>
      <c r="Q139" s="191"/>
      <c r="R139" s="189"/>
      <c r="S139" s="53" t="str">
        <f t="shared" si="17"/>
        <v/>
      </c>
      <c r="T139" s="63" t="str">
        <f t="shared" si="18"/>
        <v/>
      </c>
      <c r="U139" s="64" t="str">
        <f>IF(OR(ISBLANK(Trades!R139), ISBLANK(Trades!H139), ISBLANK(Trades!I139)), "", IF(Trades!H139=Trades!I139, "N/A", (Trades!R139-Trades!H139)/(Trades!H139-Trades!I139)))</f>
        <v/>
      </c>
      <c r="V139" s="65" t="str">
        <f t="shared" si="19"/>
        <v/>
      </c>
      <c r="W139" s="66" t="str">
        <f t="shared" si="20"/>
        <v/>
      </c>
      <c r="X139" s="62" t="str">
        <f t="shared" si="21"/>
        <v/>
      </c>
      <c r="Y139" s="45"/>
      <c r="Z139" s="44"/>
      <c r="AA139" s="41"/>
      <c r="AB139" s="39"/>
      <c r="AC139" s="37" t="str">
        <f t="shared" si="22"/>
        <v/>
      </c>
    </row>
    <row r="140" spans="2:29" x14ac:dyDescent="0.25">
      <c r="B140" s="54">
        <v>134</v>
      </c>
      <c r="C140" s="168"/>
      <c r="D140" s="51"/>
      <c r="E140" s="29"/>
      <c r="F140" s="48"/>
      <c r="G140" s="29"/>
      <c r="H140" s="187"/>
      <c r="I140" s="187"/>
      <c r="J140" s="195"/>
      <c r="K140" s="86" t="str">
        <f t="shared" si="16"/>
        <v/>
      </c>
      <c r="L140" s="57" t="str">
        <f t="shared" ref="L140:L203" si="23">IF(OR(ISBLANK(J140),ISBLANK(H140),ISBLANK(I140)),"",ABS(J140-H140)/ABS(H140-I140))</f>
        <v/>
      </c>
      <c r="M140" s="186"/>
      <c r="N140" s="189"/>
      <c r="O140" s="190"/>
      <c r="P140" s="190" t="str">
        <f>IF(OR(ISBLANK(V140),COUNTBLANK(V140:$V$1048576)=ROWS(V140:$V$1048576)),"",$R$2*(1+SUM(V$7:V140)))</f>
        <v/>
      </c>
      <c r="Q140" s="191"/>
      <c r="R140" s="189"/>
      <c r="S140" s="53" t="str">
        <f t="shared" si="17"/>
        <v/>
      </c>
      <c r="T140" s="63" t="str">
        <f t="shared" si="18"/>
        <v/>
      </c>
      <c r="U140" s="64" t="str">
        <f>IF(OR(ISBLANK(Trades!R140), ISBLANK(Trades!H140), ISBLANK(Trades!I140)), "", IF(Trades!H140=Trades!I140, "N/A", (Trades!R140-Trades!H140)/(Trades!H140-Trades!I140)))</f>
        <v/>
      </c>
      <c r="V140" s="65" t="str">
        <f t="shared" si="19"/>
        <v/>
      </c>
      <c r="W140" s="66" t="str">
        <f t="shared" si="20"/>
        <v/>
      </c>
      <c r="X140" s="62" t="str">
        <f t="shared" si="21"/>
        <v/>
      </c>
      <c r="Y140" s="45"/>
      <c r="Z140" s="44"/>
      <c r="AA140" s="41"/>
      <c r="AB140" s="39"/>
      <c r="AC140" s="37" t="str">
        <f t="shared" si="22"/>
        <v/>
      </c>
    </row>
    <row r="141" spans="2:29" x14ac:dyDescent="0.25">
      <c r="B141" s="54">
        <v>135</v>
      </c>
      <c r="C141" s="168"/>
      <c r="D141" s="51"/>
      <c r="E141" s="29"/>
      <c r="F141" s="48"/>
      <c r="G141" s="29"/>
      <c r="H141" s="187"/>
      <c r="I141" s="187"/>
      <c r="J141" s="195"/>
      <c r="K141" s="86" t="str">
        <f t="shared" si="16"/>
        <v/>
      </c>
      <c r="L141" s="57" t="str">
        <f t="shared" si="23"/>
        <v/>
      </c>
      <c r="M141" s="186"/>
      <c r="N141" s="189"/>
      <c r="O141" s="190"/>
      <c r="P141" s="190" t="str">
        <f>IF(OR(ISBLANK(V141),COUNTBLANK(V141:$V$1048576)=ROWS(V141:$V$1048576)),"",$R$2*(1+SUM(V$7:V141)))</f>
        <v/>
      </c>
      <c r="Q141" s="191"/>
      <c r="R141" s="189"/>
      <c r="S141" s="53" t="str">
        <f t="shared" si="17"/>
        <v/>
      </c>
      <c r="T141" s="63" t="str">
        <f t="shared" si="18"/>
        <v/>
      </c>
      <c r="U141" s="64" t="str">
        <f>IF(OR(ISBLANK(Trades!R141), ISBLANK(Trades!H141), ISBLANK(Trades!I141)), "", IF(Trades!H141=Trades!I141, "N/A", (Trades!R141-Trades!H141)/(Trades!H141-Trades!I141)))</f>
        <v/>
      </c>
      <c r="V141" s="65" t="str">
        <f t="shared" si="19"/>
        <v/>
      </c>
      <c r="W141" s="66" t="str">
        <f t="shared" si="20"/>
        <v/>
      </c>
      <c r="X141" s="62" t="str">
        <f t="shared" si="21"/>
        <v/>
      </c>
      <c r="Y141" s="45"/>
      <c r="Z141" s="44"/>
      <c r="AA141" s="41"/>
      <c r="AB141" s="39"/>
      <c r="AC141" s="37" t="str">
        <f t="shared" si="22"/>
        <v/>
      </c>
    </row>
    <row r="142" spans="2:29" x14ac:dyDescent="0.25">
      <c r="B142" s="54">
        <v>136</v>
      </c>
      <c r="C142" s="168"/>
      <c r="D142" s="51"/>
      <c r="E142" s="29"/>
      <c r="F142" s="48"/>
      <c r="G142" s="29"/>
      <c r="H142" s="187"/>
      <c r="I142" s="187"/>
      <c r="J142" s="195"/>
      <c r="K142" s="86" t="str">
        <f t="shared" si="16"/>
        <v/>
      </c>
      <c r="L142" s="57" t="str">
        <f t="shared" si="23"/>
        <v/>
      </c>
      <c r="M142" s="186"/>
      <c r="N142" s="189"/>
      <c r="O142" s="190"/>
      <c r="P142" s="190" t="str">
        <f>IF(OR(ISBLANK(V142),COUNTBLANK(V142:$V$1048576)=ROWS(V142:$V$1048576)),"",$R$2*(1+SUM(V$7:V142)))</f>
        <v/>
      </c>
      <c r="Q142" s="191"/>
      <c r="R142" s="189"/>
      <c r="S142" s="53" t="str">
        <f t="shared" si="17"/>
        <v/>
      </c>
      <c r="T142" s="63" t="str">
        <f t="shared" si="18"/>
        <v/>
      </c>
      <c r="U142" s="64" t="str">
        <f>IF(OR(ISBLANK(Trades!R142), ISBLANK(Trades!H142), ISBLANK(Trades!I142)), "", IF(Trades!H142=Trades!I142, "N/A", (Trades!R142-Trades!H142)/(Trades!H142-Trades!I142)))</f>
        <v/>
      </c>
      <c r="V142" s="65" t="str">
        <f t="shared" si="19"/>
        <v/>
      </c>
      <c r="W142" s="66" t="str">
        <f t="shared" si="20"/>
        <v/>
      </c>
      <c r="X142" s="62" t="str">
        <f t="shared" si="21"/>
        <v/>
      </c>
      <c r="Y142" s="45"/>
      <c r="Z142" s="44"/>
      <c r="AA142" s="41"/>
      <c r="AB142" s="39"/>
      <c r="AC142" s="37" t="str">
        <f t="shared" si="22"/>
        <v/>
      </c>
    </row>
    <row r="143" spans="2:29" x14ac:dyDescent="0.25">
      <c r="B143" s="54">
        <v>137</v>
      </c>
      <c r="C143" s="168"/>
      <c r="D143" s="51"/>
      <c r="E143" s="29"/>
      <c r="F143" s="48"/>
      <c r="G143" s="29"/>
      <c r="H143" s="187"/>
      <c r="I143" s="187"/>
      <c r="J143" s="195"/>
      <c r="K143" s="86" t="str">
        <f t="shared" si="16"/>
        <v/>
      </c>
      <c r="L143" s="57" t="str">
        <f t="shared" si="23"/>
        <v/>
      </c>
      <c r="M143" s="186"/>
      <c r="N143" s="189"/>
      <c r="O143" s="190"/>
      <c r="P143" s="190" t="str">
        <f>IF(OR(ISBLANK(V143),COUNTBLANK(V143:$V$1048576)=ROWS(V143:$V$1048576)),"",$R$2*(1+SUM(V$7:V143)))</f>
        <v/>
      </c>
      <c r="Q143" s="191"/>
      <c r="R143" s="189"/>
      <c r="S143" s="53" t="str">
        <f t="shared" si="17"/>
        <v/>
      </c>
      <c r="T143" s="63" t="str">
        <f t="shared" si="18"/>
        <v/>
      </c>
      <c r="U143" s="64" t="str">
        <f>IF(OR(ISBLANK(Trades!R143), ISBLANK(Trades!H143), ISBLANK(Trades!I143)), "", IF(Trades!H143=Trades!I143, "N/A", (Trades!R143-Trades!H143)/(Trades!H143-Trades!I143)))</f>
        <v/>
      </c>
      <c r="V143" s="65" t="str">
        <f t="shared" si="19"/>
        <v/>
      </c>
      <c r="W143" s="66" t="str">
        <f t="shared" si="20"/>
        <v/>
      </c>
      <c r="X143" s="62" t="str">
        <f t="shared" si="21"/>
        <v/>
      </c>
      <c r="Y143" s="45"/>
      <c r="Z143" s="44"/>
      <c r="AA143" s="41"/>
      <c r="AB143" s="39"/>
      <c r="AC143" s="37" t="str">
        <f t="shared" si="22"/>
        <v/>
      </c>
    </row>
    <row r="144" spans="2:29" x14ac:dyDescent="0.25">
      <c r="B144" s="54">
        <v>138</v>
      </c>
      <c r="C144" s="168"/>
      <c r="D144" s="51"/>
      <c r="E144" s="29"/>
      <c r="F144" s="48"/>
      <c r="G144" s="29"/>
      <c r="H144" s="187"/>
      <c r="I144" s="187"/>
      <c r="J144" s="195"/>
      <c r="K144" s="86" t="str">
        <f t="shared" si="16"/>
        <v/>
      </c>
      <c r="L144" s="57" t="str">
        <f t="shared" si="23"/>
        <v/>
      </c>
      <c r="M144" s="186"/>
      <c r="N144" s="189"/>
      <c r="O144" s="190"/>
      <c r="P144" s="190" t="str">
        <f>IF(OR(ISBLANK(V144),COUNTBLANK(V144:$V$1048576)=ROWS(V144:$V$1048576)),"",$R$2*(1+SUM(V$7:V144)))</f>
        <v/>
      </c>
      <c r="Q144" s="191"/>
      <c r="R144" s="189"/>
      <c r="S144" s="53" t="str">
        <f t="shared" si="17"/>
        <v/>
      </c>
      <c r="T144" s="63" t="str">
        <f t="shared" si="18"/>
        <v/>
      </c>
      <c r="U144" s="64" t="str">
        <f>IF(OR(ISBLANK(Trades!R144), ISBLANK(Trades!H144), ISBLANK(Trades!I144)), "", IF(Trades!H144=Trades!I144, "N/A", (Trades!R144-Trades!H144)/(Trades!H144-Trades!I144)))</f>
        <v/>
      </c>
      <c r="V144" s="65" t="str">
        <f t="shared" si="19"/>
        <v/>
      </c>
      <c r="W144" s="66" t="str">
        <f t="shared" si="20"/>
        <v/>
      </c>
      <c r="X144" s="62" t="str">
        <f t="shared" si="21"/>
        <v/>
      </c>
      <c r="Y144" s="45"/>
      <c r="Z144" s="44"/>
      <c r="AA144" s="41"/>
      <c r="AB144" s="39"/>
      <c r="AC144" s="37" t="str">
        <f t="shared" si="22"/>
        <v/>
      </c>
    </row>
    <row r="145" spans="2:29" x14ac:dyDescent="0.25">
      <c r="B145" s="54">
        <v>139</v>
      </c>
      <c r="C145" s="168"/>
      <c r="D145" s="51"/>
      <c r="E145" s="29"/>
      <c r="F145" s="48"/>
      <c r="G145" s="29"/>
      <c r="H145" s="187"/>
      <c r="I145" s="187"/>
      <c r="J145" s="195"/>
      <c r="K145" s="86" t="str">
        <f t="shared" si="16"/>
        <v/>
      </c>
      <c r="L145" s="57" t="str">
        <f t="shared" si="23"/>
        <v/>
      </c>
      <c r="M145" s="186"/>
      <c r="N145" s="189"/>
      <c r="O145" s="190"/>
      <c r="P145" s="190" t="str">
        <f>IF(OR(ISBLANK(V145),COUNTBLANK(V145:$V$1048576)=ROWS(V145:$V$1048576)),"",$R$2*(1+SUM(V$7:V145)))</f>
        <v/>
      </c>
      <c r="Q145" s="191"/>
      <c r="R145" s="189"/>
      <c r="S145" s="53" t="str">
        <f t="shared" si="17"/>
        <v/>
      </c>
      <c r="T145" s="63" t="str">
        <f t="shared" si="18"/>
        <v/>
      </c>
      <c r="U145" s="64" t="str">
        <f>IF(OR(ISBLANK(Trades!R145), ISBLANK(Trades!H145), ISBLANK(Trades!I145)), "", IF(Trades!H145=Trades!I145, "N/A", (Trades!R145-Trades!H145)/(Trades!H145-Trades!I145)))</f>
        <v/>
      </c>
      <c r="V145" s="65" t="str">
        <f t="shared" si="19"/>
        <v/>
      </c>
      <c r="W145" s="66" t="str">
        <f t="shared" si="20"/>
        <v/>
      </c>
      <c r="X145" s="62" t="str">
        <f t="shared" si="21"/>
        <v/>
      </c>
      <c r="Y145" s="45"/>
      <c r="Z145" s="44"/>
      <c r="AA145" s="41"/>
      <c r="AB145" s="39"/>
      <c r="AC145" s="37" t="str">
        <f t="shared" si="22"/>
        <v/>
      </c>
    </row>
    <row r="146" spans="2:29" x14ac:dyDescent="0.25">
      <c r="B146" s="54">
        <v>140</v>
      </c>
      <c r="C146" s="168"/>
      <c r="D146" s="51"/>
      <c r="E146" s="29"/>
      <c r="F146" s="48"/>
      <c r="G146" s="29"/>
      <c r="H146" s="187"/>
      <c r="I146" s="187"/>
      <c r="J146" s="195"/>
      <c r="K146" s="86" t="str">
        <f t="shared" si="16"/>
        <v/>
      </c>
      <c r="L146" s="57" t="str">
        <f t="shared" si="23"/>
        <v/>
      </c>
      <c r="M146" s="186"/>
      <c r="N146" s="189"/>
      <c r="O146" s="190"/>
      <c r="P146" s="190" t="str">
        <f>IF(OR(ISBLANK(V146),COUNTBLANK(V146:$V$1048576)=ROWS(V146:$V$1048576)),"",$R$2*(1+SUM(V$7:V146)))</f>
        <v/>
      </c>
      <c r="Q146" s="191"/>
      <c r="R146" s="189"/>
      <c r="S146" s="53" t="str">
        <f t="shared" si="17"/>
        <v/>
      </c>
      <c r="T146" s="63" t="str">
        <f t="shared" si="18"/>
        <v/>
      </c>
      <c r="U146" s="64" t="str">
        <f>IF(OR(ISBLANK(Trades!R146), ISBLANK(Trades!H146), ISBLANK(Trades!I146)), "", IF(Trades!H146=Trades!I146, "N/A", (Trades!R146-Trades!H146)/(Trades!H146-Trades!I146)))</f>
        <v/>
      </c>
      <c r="V146" s="65" t="str">
        <f t="shared" si="19"/>
        <v/>
      </c>
      <c r="W146" s="66" t="str">
        <f t="shared" si="20"/>
        <v/>
      </c>
      <c r="X146" s="62" t="str">
        <f t="shared" si="21"/>
        <v/>
      </c>
      <c r="Y146" s="45"/>
      <c r="Z146" s="44"/>
      <c r="AA146" s="41"/>
      <c r="AB146" s="39"/>
      <c r="AC146" s="37" t="str">
        <f t="shared" si="22"/>
        <v/>
      </c>
    </row>
    <row r="147" spans="2:29" x14ac:dyDescent="0.25">
      <c r="B147" s="54">
        <v>141</v>
      </c>
      <c r="C147" s="168"/>
      <c r="D147" s="51"/>
      <c r="E147" s="29"/>
      <c r="F147" s="48"/>
      <c r="G147" s="29"/>
      <c r="H147" s="187"/>
      <c r="I147" s="187"/>
      <c r="J147" s="195"/>
      <c r="K147" s="86" t="str">
        <f t="shared" si="16"/>
        <v/>
      </c>
      <c r="L147" s="57" t="str">
        <f t="shared" si="23"/>
        <v/>
      </c>
      <c r="M147" s="186"/>
      <c r="N147" s="189"/>
      <c r="O147" s="190"/>
      <c r="P147" s="190" t="str">
        <f>IF(OR(ISBLANK(V147),COUNTBLANK(V147:$V$1048576)=ROWS(V147:$V$1048576)),"",$R$2*(1+SUM(V$7:V147)))</f>
        <v/>
      </c>
      <c r="Q147" s="191"/>
      <c r="R147" s="189"/>
      <c r="S147" s="53" t="str">
        <f t="shared" si="17"/>
        <v/>
      </c>
      <c r="T147" s="63" t="str">
        <f t="shared" si="18"/>
        <v/>
      </c>
      <c r="U147" s="64" t="str">
        <f>IF(OR(ISBLANK(Trades!R147), ISBLANK(Trades!H147), ISBLANK(Trades!I147)), "", IF(Trades!H147=Trades!I147, "N/A", (Trades!R147-Trades!H147)/(Trades!H147-Trades!I147)))</f>
        <v/>
      </c>
      <c r="V147" s="65" t="str">
        <f t="shared" si="19"/>
        <v/>
      </c>
      <c r="W147" s="66" t="str">
        <f t="shared" si="20"/>
        <v/>
      </c>
      <c r="X147" s="62" t="str">
        <f t="shared" si="21"/>
        <v/>
      </c>
      <c r="Y147" s="45"/>
      <c r="Z147" s="44"/>
      <c r="AA147" s="41"/>
      <c r="AB147" s="39"/>
      <c r="AC147" s="37" t="str">
        <f t="shared" si="22"/>
        <v/>
      </c>
    </row>
    <row r="148" spans="2:29" x14ac:dyDescent="0.25">
      <c r="B148" s="54">
        <v>142</v>
      </c>
      <c r="C148" s="168"/>
      <c r="D148" s="51"/>
      <c r="E148" s="29"/>
      <c r="F148" s="48"/>
      <c r="G148" s="29"/>
      <c r="H148" s="187"/>
      <c r="I148" s="187"/>
      <c r="J148" s="195"/>
      <c r="K148" s="86" t="str">
        <f t="shared" si="16"/>
        <v/>
      </c>
      <c r="L148" s="57" t="str">
        <f t="shared" si="23"/>
        <v/>
      </c>
      <c r="M148" s="186"/>
      <c r="N148" s="189"/>
      <c r="O148" s="190"/>
      <c r="P148" s="190" t="str">
        <f>IF(OR(ISBLANK(V148),COUNTBLANK(V148:$V$1048576)=ROWS(V148:$V$1048576)),"",$R$2*(1+SUM(V$7:V148)))</f>
        <v/>
      </c>
      <c r="Q148" s="191"/>
      <c r="R148" s="189"/>
      <c r="S148" s="53" t="str">
        <f t="shared" si="17"/>
        <v/>
      </c>
      <c r="T148" s="63" t="str">
        <f t="shared" si="18"/>
        <v/>
      </c>
      <c r="U148" s="64" t="str">
        <f>IF(OR(ISBLANK(Trades!R148), ISBLANK(Trades!H148), ISBLANK(Trades!I148)), "", IF(Trades!H148=Trades!I148, "N/A", (Trades!R148-Trades!H148)/(Trades!H148-Trades!I148)))</f>
        <v/>
      </c>
      <c r="V148" s="65" t="str">
        <f t="shared" si="19"/>
        <v/>
      </c>
      <c r="W148" s="66" t="str">
        <f t="shared" si="20"/>
        <v/>
      </c>
      <c r="X148" s="62" t="str">
        <f t="shared" si="21"/>
        <v/>
      </c>
      <c r="Y148" s="45"/>
      <c r="Z148" s="44"/>
      <c r="AA148" s="41"/>
      <c r="AB148" s="39"/>
      <c r="AC148" s="37" t="str">
        <f t="shared" si="22"/>
        <v/>
      </c>
    </row>
    <row r="149" spans="2:29" x14ac:dyDescent="0.25">
      <c r="B149" s="54">
        <v>143</v>
      </c>
      <c r="C149" s="168"/>
      <c r="D149" s="51"/>
      <c r="E149" s="29"/>
      <c r="F149" s="48"/>
      <c r="G149" s="29"/>
      <c r="H149" s="187"/>
      <c r="I149" s="187"/>
      <c r="J149" s="195"/>
      <c r="K149" s="86" t="str">
        <f t="shared" si="16"/>
        <v/>
      </c>
      <c r="L149" s="57" t="str">
        <f t="shared" si="23"/>
        <v/>
      </c>
      <c r="M149" s="186"/>
      <c r="N149" s="189"/>
      <c r="O149" s="190"/>
      <c r="P149" s="190" t="str">
        <f>IF(OR(ISBLANK(V149),COUNTBLANK(V149:$V$1048576)=ROWS(V149:$V$1048576)),"",$R$2*(1+SUM(V$7:V149)))</f>
        <v/>
      </c>
      <c r="Q149" s="191"/>
      <c r="R149" s="189"/>
      <c r="S149" s="53" t="str">
        <f t="shared" si="17"/>
        <v/>
      </c>
      <c r="T149" s="63" t="str">
        <f t="shared" si="18"/>
        <v/>
      </c>
      <c r="U149" s="64" t="str">
        <f>IF(OR(ISBLANK(Trades!R149), ISBLANK(Trades!H149), ISBLANK(Trades!I149)), "", IF(Trades!H149=Trades!I149, "N/A", (Trades!R149-Trades!H149)/(Trades!H149-Trades!I149)))</f>
        <v/>
      </c>
      <c r="V149" s="65" t="str">
        <f t="shared" si="19"/>
        <v/>
      </c>
      <c r="W149" s="66" t="str">
        <f t="shared" si="20"/>
        <v/>
      </c>
      <c r="X149" s="62" t="str">
        <f t="shared" si="21"/>
        <v/>
      </c>
      <c r="Y149" s="45"/>
      <c r="Z149" s="44"/>
      <c r="AA149" s="41"/>
      <c r="AB149" s="39"/>
      <c r="AC149" s="37" t="str">
        <f t="shared" si="22"/>
        <v/>
      </c>
    </row>
    <row r="150" spans="2:29" x14ac:dyDescent="0.25">
      <c r="B150" s="54">
        <v>144</v>
      </c>
      <c r="C150" s="168"/>
      <c r="D150" s="51"/>
      <c r="E150" s="29"/>
      <c r="F150" s="48"/>
      <c r="G150" s="29"/>
      <c r="H150" s="187"/>
      <c r="I150" s="187"/>
      <c r="J150" s="195"/>
      <c r="K150" s="86" t="str">
        <f t="shared" si="16"/>
        <v/>
      </c>
      <c r="L150" s="57" t="str">
        <f t="shared" si="23"/>
        <v/>
      </c>
      <c r="M150" s="186"/>
      <c r="N150" s="189"/>
      <c r="O150" s="190"/>
      <c r="P150" s="190" t="str">
        <f>IF(OR(ISBLANK(V150),COUNTBLANK(V150:$V$1048576)=ROWS(V150:$V$1048576)),"",$R$2*(1+SUM(V$7:V150)))</f>
        <v/>
      </c>
      <c r="Q150" s="191"/>
      <c r="R150" s="189"/>
      <c r="S150" s="53" t="str">
        <f t="shared" si="17"/>
        <v/>
      </c>
      <c r="T150" s="63" t="str">
        <f t="shared" si="18"/>
        <v/>
      </c>
      <c r="U150" s="64" t="str">
        <f>IF(OR(ISBLANK(Trades!R150), ISBLANK(Trades!H150), ISBLANK(Trades!I150)), "", IF(Trades!H150=Trades!I150, "N/A", (Trades!R150-Trades!H150)/(Trades!H150-Trades!I150)))</f>
        <v/>
      </c>
      <c r="V150" s="65" t="str">
        <f t="shared" si="19"/>
        <v/>
      </c>
      <c r="W150" s="66" t="str">
        <f t="shared" si="20"/>
        <v/>
      </c>
      <c r="X150" s="62" t="str">
        <f t="shared" si="21"/>
        <v/>
      </c>
      <c r="Y150" s="45"/>
      <c r="Z150" s="44"/>
      <c r="AA150" s="41"/>
      <c r="AB150" s="39"/>
      <c r="AC150" s="37" t="str">
        <f t="shared" si="22"/>
        <v/>
      </c>
    </row>
    <row r="151" spans="2:29" x14ac:dyDescent="0.25">
      <c r="B151" s="54">
        <v>145</v>
      </c>
      <c r="C151" s="168"/>
      <c r="D151" s="51"/>
      <c r="E151" s="29"/>
      <c r="F151" s="48"/>
      <c r="G151" s="29"/>
      <c r="H151" s="187"/>
      <c r="I151" s="187"/>
      <c r="J151" s="195"/>
      <c r="K151" s="86" t="str">
        <f t="shared" si="16"/>
        <v/>
      </c>
      <c r="L151" s="57" t="str">
        <f t="shared" si="23"/>
        <v/>
      </c>
      <c r="M151" s="186"/>
      <c r="N151" s="189"/>
      <c r="O151" s="190"/>
      <c r="P151" s="190" t="str">
        <f>IF(OR(ISBLANK(V151),COUNTBLANK(V151:$V$1048576)=ROWS(V151:$V$1048576)),"",$R$2*(1+SUM(V$7:V151)))</f>
        <v/>
      </c>
      <c r="Q151" s="191"/>
      <c r="R151" s="189"/>
      <c r="S151" s="53" t="str">
        <f t="shared" si="17"/>
        <v/>
      </c>
      <c r="T151" s="63" t="str">
        <f t="shared" si="18"/>
        <v/>
      </c>
      <c r="U151" s="64" t="str">
        <f>IF(OR(ISBLANK(Trades!R151), ISBLANK(Trades!H151), ISBLANK(Trades!I151)), "", IF(Trades!H151=Trades!I151, "N/A", (Trades!R151-Trades!H151)/(Trades!H151-Trades!I151)))</f>
        <v/>
      </c>
      <c r="V151" s="65" t="str">
        <f t="shared" si="19"/>
        <v/>
      </c>
      <c r="W151" s="66" t="str">
        <f t="shared" si="20"/>
        <v/>
      </c>
      <c r="X151" s="62" t="str">
        <f t="shared" si="21"/>
        <v/>
      </c>
      <c r="Y151" s="45"/>
      <c r="Z151" s="44"/>
      <c r="AA151" s="41"/>
      <c r="AB151" s="39"/>
      <c r="AC151" s="37" t="str">
        <f t="shared" si="22"/>
        <v/>
      </c>
    </row>
    <row r="152" spans="2:29" x14ac:dyDescent="0.25">
      <c r="B152" s="54">
        <v>146</v>
      </c>
      <c r="C152" s="168"/>
      <c r="D152" s="51"/>
      <c r="E152" s="29"/>
      <c r="F152" s="48"/>
      <c r="G152" s="29"/>
      <c r="H152" s="187"/>
      <c r="I152" s="187"/>
      <c r="J152" s="195"/>
      <c r="K152" s="86" t="str">
        <f t="shared" si="16"/>
        <v/>
      </c>
      <c r="L152" s="57" t="str">
        <f t="shared" si="23"/>
        <v/>
      </c>
      <c r="M152" s="186"/>
      <c r="N152" s="189"/>
      <c r="O152" s="190"/>
      <c r="P152" s="190" t="str">
        <f>IF(OR(ISBLANK(V152),COUNTBLANK(V152:$V$1048576)=ROWS(V152:$V$1048576)),"",$R$2*(1+SUM(V$7:V152)))</f>
        <v/>
      </c>
      <c r="Q152" s="191"/>
      <c r="R152" s="189"/>
      <c r="S152" s="53" t="str">
        <f t="shared" si="17"/>
        <v/>
      </c>
      <c r="T152" s="63" t="str">
        <f t="shared" si="18"/>
        <v/>
      </c>
      <c r="U152" s="64" t="str">
        <f>IF(OR(ISBLANK(Trades!R152), ISBLANK(Trades!H152), ISBLANK(Trades!I152)), "", IF(Trades!H152=Trades!I152, "N/A", (Trades!R152-Trades!H152)/(Trades!H152-Trades!I152)))</f>
        <v/>
      </c>
      <c r="V152" s="65" t="str">
        <f t="shared" si="19"/>
        <v/>
      </c>
      <c r="W152" s="66" t="str">
        <f t="shared" si="20"/>
        <v/>
      </c>
      <c r="X152" s="62" t="str">
        <f t="shared" si="21"/>
        <v/>
      </c>
      <c r="Y152" s="45"/>
      <c r="Z152" s="44"/>
      <c r="AA152" s="41"/>
      <c r="AB152" s="39"/>
      <c r="AC152" s="37" t="str">
        <f t="shared" si="22"/>
        <v/>
      </c>
    </row>
    <row r="153" spans="2:29" x14ac:dyDescent="0.25">
      <c r="B153" s="54">
        <v>147</v>
      </c>
      <c r="C153" s="168"/>
      <c r="D153" s="51"/>
      <c r="E153" s="29"/>
      <c r="F153" s="48"/>
      <c r="G153" s="29"/>
      <c r="H153" s="187"/>
      <c r="I153" s="187"/>
      <c r="J153" s="195"/>
      <c r="K153" s="86" t="str">
        <f t="shared" si="16"/>
        <v/>
      </c>
      <c r="L153" s="57" t="str">
        <f t="shared" si="23"/>
        <v/>
      </c>
      <c r="M153" s="186"/>
      <c r="N153" s="189"/>
      <c r="O153" s="190"/>
      <c r="P153" s="190" t="str">
        <f>IF(OR(ISBLANK(V153),COUNTBLANK(V153:$V$1048576)=ROWS(V153:$V$1048576)),"",$R$2*(1+SUM(V$7:V153)))</f>
        <v/>
      </c>
      <c r="Q153" s="191"/>
      <c r="R153" s="189"/>
      <c r="S153" s="53" t="str">
        <f t="shared" si="17"/>
        <v/>
      </c>
      <c r="T153" s="63" t="str">
        <f t="shared" si="18"/>
        <v/>
      </c>
      <c r="U153" s="64" t="str">
        <f>IF(OR(ISBLANK(Trades!R153), ISBLANK(Trades!H153), ISBLANK(Trades!I153)), "", IF(Trades!H153=Trades!I153, "N/A", (Trades!R153-Trades!H153)/(Trades!H153-Trades!I153)))</f>
        <v/>
      </c>
      <c r="V153" s="65" t="str">
        <f t="shared" si="19"/>
        <v/>
      </c>
      <c r="W153" s="66" t="str">
        <f t="shared" si="20"/>
        <v/>
      </c>
      <c r="X153" s="62" t="str">
        <f t="shared" si="21"/>
        <v/>
      </c>
      <c r="Y153" s="45"/>
      <c r="Z153" s="44"/>
      <c r="AA153" s="41"/>
      <c r="AB153" s="39"/>
      <c r="AC153" s="37" t="str">
        <f t="shared" si="22"/>
        <v/>
      </c>
    </row>
    <row r="154" spans="2:29" x14ac:dyDescent="0.25">
      <c r="B154" s="54">
        <v>148</v>
      </c>
      <c r="C154" s="168"/>
      <c r="D154" s="51"/>
      <c r="E154" s="29"/>
      <c r="F154" s="48"/>
      <c r="G154" s="29"/>
      <c r="H154" s="187"/>
      <c r="I154" s="187"/>
      <c r="J154" s="195"/>
      <c r="K154" s="86" t="str">
        <f t="shared" si="16"/>
        <v/>
      </c>
      <c r="L154" s="57" t="str">
        <f t="shared" si="23"/>
        <v/>
      </c>
      <c r="M154" s="186"/>
      <c r="N154" s="189"/>
      <c r="O154" s="190"/>
      <c r="P154" s="190" t="str">
        <f>IF(OR(ISBLANK(V154),COUNTBLANK(V154:$V$1048576)=ROWS(V154:$V$1048576)),"",$R$2*(1+SUM(V$7:V154)))</f>
        <v/>
      </c>
      <c r="Q154" s="191"/>
      <c r="R154" s="189"/>
      <c r="S154" s="53" t="str">
        <f t="shared" si="17"/>
        <v/>
      </c>
      <c r="T154" s="63" t="str">
        <f t="shared" si="18"/>
        <v/>
      </c>
      <c r="U154" s="64" t="str">
        <f>IF(OR(ISBLANK(Trades!R154), ISBLANK(Trades!H154), ISBLANK(Trades!I154)), "", IF(Trades!H154=Trades!I154, "N/A", (Trades!R154-Trades!H154)/(Trades!H154-Trades!I154)))</f>
        <v/>
      </c>
      <c r="V154" s="65" t="str">
        <f t="shared" si="19"/>
        <v/>
      </c>
      <c r="W154" s="66" t="str">
        <f t="shared" si="20"/>
        <v/>
      </c>
      <c r="X154" s="62" t="str">
        <f t="shared" si="21"/>
        <v/>
      </c>
      <c r="Y154" s="45"/>
      <c r="Z154" s="44"/>
      <c r="AA154" s="41"/>
      <c r="AB154" s="39"/>
      <c r="AC154" s="37" t="str">
        <f t="shared" si="22"/>
        <v/>
      </c>
    </row>
    <row r="155" spans="2:29" x14ac:dyDescent="0.25">
      <c r="B155" s="54">
        <v>149</v>
      </c>
      <c r="C155" s="168"/>
      <c r="D155" s="51"/>
      <c r="E155" s="29"/>
      <c r="F155" s="48"/>
      <c r="G155" s="29"/>
      <c r="H155" s="187"/>
      <c r="I155" s="187"/>
      <c r="J155" s="195"/>
      <c r="K155" s="86" t="str">
        <f t="shared" si="16"/>
        <v/>
      </c>
      <c r="L155" s="57" t="str">
        <f t="shared" si="23"/>
        <v/>
      </c>
      <c r="M155" s="186"/>
      <c r="N155" s="189"/>
      <c r="O155" s="190"/>
      <c r="P155" s="190" t="str">
        <f>IF(OR(ISBLANK(V155),COUNTBLANK(V155:$V$1048576)=ROWS(V155:$V$1048576)),"",$R$2*(1+SUM(V$7:V155)))</f>
        <v/>
      </c>
      <c r="Q155" s="191"/>
      <c r="R155" s="189"/>
      <c r="S155" s="53" t="str">
        <f t="shared" si="17"/>
        <v/>
      </c>
      <c r="T155" s="63" t="str">
        <f t="shared" si="18"/>
        <v/>
      </c>
      <c r="U155" s="64" t="str">
        <f>IF(OR(ISBLANK(Trades!R155), ISBLANK(Trades!H155), ISBLANK(Trades!I155)), "", IF(Trades!H155=Trades!I155, "N/A", (Trades!R155-Trades!H155)/(Trades!H155-Trades!I155)))</f>
        <v/>
      </c>
      <c r="V155" s="65" t="str">
        <f t="shared" si="19"/>
        <v/>
      </c>
      <c r="W155" s="66" t="str">
        <f t="shared" si="20"/>
        <v/>
      </c>
      <c r="X155" s="62" t="str">
        <f t="shared" si="21"/>
        <v/>
      </c>
      <c r="Y155" s="45"/>
      <c r="Z155" s="44"/>
      <c r="AA155" s="41"/>
      <c r="AB155" s="39"/>
      <c r="AC155" s="37" t="str">
        <f t="shared" si="22"/>
        <v/>
      </c>
    </row>
    <row r="156" spans="2:29" x14ac:dyDescent="0.25">
      <c r="B156" s="54">
        <v>150</v>
      </c>
      <c r="C156" s="168"/>
      <c r="D156" s="51"/>
      <c r="E156" s="29"/>
      <c r="F156" s="48"/>
      <c r="G156" s="29"/>
      <c r="H156" s="187"/>
      <c r="I156" s="187"/>
      <c r="J156" s="195"/>
      <c r="K156" s="86" t="str">
        <f t="shared" si="16"/>
        <v/>
      </c>
      <c r="L156" s="57" t="str">
        <f t="shared" si="23"/>
        <v/>
      </c>
      <c r="M156" s="186"/>
      <c r="N156" s="189"/>
      <c r="O156" s="190"/>
      <c r="P156" s="190" t="str">
        <f>IF(OR(ISBLANK(V156),COUNTBLANK(V156:$V$1048576)=ROWS(V156:$V$1048576)),"",$R$2*(1+SUM(V$7:V156)))</f>
        <v/>
      </c>
      <c r="Q156" s="191"/>
      <c r="R156" s="189"/>
      <c r="S156" s="53" t="str">
        <f t="shared" si="17"/>
        <v/>
      </c>
      <c r="T156" s="63" t="str">
        <f t="shared" si="18"/>
        <v/>
      </c>
      <c r="U156" s="64" t="str">
        <f>IF(OR(ISBLANK(Trades!R156), ISBLANK(Trades!H156), ISBLANK(Trades!I156)), "", IF(Trades!H156=Trades!I156, "N/A", (Trades!R156-Trades!H156)/(Trades!H156-Trades!I156)))</f>
        <v/>
      </c>
      <c r="V156" s="65" t="str">
        <f t="shared" si="19"/>
        <v/>
      </c>
      <c r="W156" s="66" t="str">
        <f t="shared" si="20"/>
        <v/>
      </c>
      <c r="X156" s="62" t="str">
        <f t="shared" si="21"/>
        <v/>
      </c>
      <c r="Y156" s="45"/>
      <c r="Z156" s="44"/>
      <c r="AA156" s="41"/>
      <c r="AB156" s="39"/>
      <c r="AC156" s="37" t="str">
        <f t="shared" si="22"/>
        <v/>
      </c>
    </row>
    <row r="157" spans="2:29" x14ac:dyDescent="0.25">
      <c r="B157" s="54">
        <v>151</v>
      </c>
      <c r="C157" s="168"/>
      <c r="D157" s="51"/>
      <c r="E157" s="29"/>
      <c r="F157" s="48"/>
      <c r="G157" s="29"/>
      <c r="H157" s="187"/>
      <c r="I157" s="187"/>
      <c r="J157" s="195"/>
      <c r="K157" s="86" t="str">
        <f t="shared" si="16"/>
        <v/>
      </c>
      <c r="L157" s="57" t="str">
        <f t="shared" si="23"/>
        <v/>
      </c>
      <c r="M157" s="186"/>
      <c r="N157" s="189"/>
      <c r="O157" s="190"/>
      <c r="P157" s="190" t="str">
        <f>IF(OR(ISBLANK(V157),COUNTBLANK(V157:$V$1048576)=ROWS(V157:$V$1048576)),"",$R$2*(1+SUM(V$7:V157)))</f>
        <v/>
      </c>
      <c r="Q157" s="191"/>
      <c r="R157" s="189"/>
      <c r="S157" s="53" t="str">
        <f t="shared" si="17"/>
        <v/>
      </c>
      <c r="T157" s="63" t="str">
        <f t="shared" si="18"/>
        <v/>
      </c>
      <c r="U157" s="64" t="str">
        <f>IF(OR(ISBLANK(Trades!R157), ISBLANK(Trades!H157), ISBLANK(Trades!I157)), "", IF(Trades!H157=Trades!I157, "N/A", (Trades!R157-Trades!H157)/(Trades!H157-Trades!I157)))</f>
        <v/>
      </c>
      <c r="V157" s="65" t="str">
        <f t="shared" si="19"/>
        <v/>
      </c>
      <c r="W157" s="66" t="str">
        <f t="shared" si="20"/>
        <v/>
      </c>
      <c r="X157" s="62" t="str">
        <f t="shared" si="21"/>
        <v/>
      </c>
      <c r="Y157" s="45"/>
      <c r="Z157" s="44"/>
      <c r="AA157" s="41"/>
      <c r="AB157" s="39"/>
      <c r="AC157" s="37" t="str">
        <f t="shared" si="22"/>
        <v/>
      </c>
    </row>
    <row r="158" spans="2:29" x14ac:dyDescent="0.25">
      <c r="B158" s="54">
        <v>152</v>
      </c>
      <c r="C158" s="168"/>
      <c r="D158" s="51"/>
      <c r="E158" s="29"/>
      <c r="F158" s="48"/>
      <c r="G158" s="29"/>
      <c r="H158" s="187"/>
      <c r="I158" s="187"/>
      <c r="J158" s="195"/>
      <c r="K158" s="86" t="str">
        <f t="shared" si="16"/>
        <v/>
      </c>
      <c r="L158" s="57" t="str">
        <f t="shared" si="23"/>
        <v/>
      </c>
      <c r="M158" s="186"/>
      <c r="N158" s="189"/>
      <c r="O158" s="190"/>
      <c r="P158" s="190" t="str">
        <f>IF(OR(ISBLANK(V158),COUNTBLANK(V158:$V$1048576)=ROWS(V158:$V$1048576)),"",$R$2*(1+SUM(V$7:V158)))</f>
        <v/>
      </c>
      <c r="Q158" s="191"/>
      <c r="R158" s="189"/>
      <c r="S158" s="53" t="str">
        <f t="shared" si="17"/>
        <v/>
      </c>
      <c r="T158" s="63" t="str">
        <f t="shared" si="18"/>
        <v/>
      </c>
      <c r="U158" s="64" t="str">
        <f>IF(OR(ISBLANK(Trades!R158), ISBLANK(Trades!H158), ISBLANK(Trades!I158)), "", IF(Trades!H158=Trades!I158, "N/A", (Trades!R158-Trades!H158)/(Trades!H158-Trades!I158)))</f>
        <v/>
      </c>
      <c r="V158" s="65" t="str">
        <f t="shared" si="19"/>
        <v/>
      </c>
      <c r="W158" s="66" t="str">
        <f t="shared" si="20"/>
        <v/>
      </c>
      <c r="X158" s="62" t="str">
        <f t="shared" si="21"/>
        <v/>
      </c>
      <c r="Y158" s="45"/>
      <c r="Z158" s="44"/>
      <c r="AA158" s="41"/>
      <c r="AB158" s="39"/>
      <c r="AC158" s="37" t="str">
        <f t="shared" si="22"/>
        <v/>
      </c>
    </row>
    <row r="159" spans="2:29" x14ac:dyDescent="0.25">
      <c r="B159" s="54">
        <v>153</v>
      </c>
      <c r="C159" s="168"/>
      <c r="D159" s="51"/>
      <c r="E159" s="29"/>
      <c r="F159" s="48"/>
      <c r="G159" s="29"/>
      <c r="H159" s="187"/>
      <c r="I159" s="187"/>
      <c r="J159" s="195"/>
      <c r="K159" s="86" t="str">
        <f t="shared" si="16"/>
        <v/>
      </c>
      <c r="L159" s="57" t="str">
        <f t="shared" si="23"/>
        <v/>
      </c>
      <c r="M159" s="186"/>
      <c r="N159" s="189"/>
      <c r="O159" s="190"/>
      <c r="P159" s="190" t="str">
        <f>IF(OR(ISBLANK(V159),COUNTBLANK(V159:$V$1048576)=ROWS(V159:$V$1048576)),"",$R$2*(1+SUM(V$7:V159)))</f>
        <v/>
      </c>
      <c r="Q159" s="191"/>
      <c r="R159" s="189"/>
      <c r="S159" s="53" t="str">
        <f t="shared" si="17"/>
        <v/>
      </c>
      <c r="T159" s="63" t="str">
        <f t="shared" si="18"/>
        <v/>
      </c>
      <c r="U159" s="64" t="str">
        <f>IF(OR(ISBLANK(Trades!R159), ISBLANK(Trades!H159), ISBLANK(Trades!I159)), "", IF(Trades!H159=Trades!I159, "N/A", (Trades!R159-Trades!H159)/(Trades!H159-Trades!I159)))</f>
        <v/>
      </c>
      <c r="V159" s="65" t="str">
        <f t="shared" si="19"/>
        <v/>
      </c>
      <c r="W159" s="66" t="str">
        <f t="shared" si="20"/>
        <v/>
      </c>
      <c r="X159" s="62" t="str">
        <f t="shared" si="21"/>
        <v/>
      </c>
      <c r="Y159" s="45"/>
      <c r="Z159" s="44"/>
      <c r="AA159" s="41"/>
      <c r="AB159" s="39"/>
      <c r="AC159" s="37" t="str">
        <f t="shared" si="22"/>
        <v/>
      </c>
    </row>
    <row r="160" spans="2:29" x14ac:dyDescent="0.25">
      <c r="B160" s="54">
        <v>154</v>
      </c>
      <c r="C160" s="168"/>
      <c r="D160" s="51"/>
      <c r="E160" s="29"/>
      <c r="F160" s="48"/>
      <c r="G160" s="29"/>
      <c r="H160" s="187"/>
      <c r="I160" s="187"/>
      <c r="J160" s="195"/>
      <c r="K160" s="86" t="str">
        <f t="shared" si="16"/>
        <v/>
      </c>
      <c r="L160" s="57" t="str">
        <f t="shared" si="23"/>
        <v/>
      </c>
      <c r="M160" s="186"/>
      <c r="N160" s="189"/>
      <c r="O160" s="190"/>
      <c r="P160" s="190" t="str">
        <f>IF(OR(ISBLANK(V160),COUNTBLANK(V160:$V$1048576)=ROWS(V160:$V$1048576)),"",$R$2*(1+SUM(V$7:V160)))</f>
        <v/>
      </c>
      <c r="Q160" s="191"/>
      <c r="R160" s="189"/>
      <c r="S160" s="53" t="str">
        <f t="shared" si="17"/>
        <v/>
      </c>
      <c r="T160" s="63" t="str">
        <f t="shared" si="18"/>
        <v/>
      </c>
      <c r="U160" s="64" t="str">
        <f>IF(OR(ISBLANK(Trades!R160), ISBLANK(Trades!H160), ISBLANK(Trades!I160)), "", IF(Trades!H160=Trades!I160, "N/A", (Trades!R160-Trades!H160)/(Trades!H160-Trades!I160)))</f>
        <v/>
      </c>
      <c r="V160" s="65" t="str">
        <f t="shared" si="19"/>
        <v/>
      </c>
      <c r="W160" s="66" t="str">
        <f t="shared" si="20"/>
        <v/>
      </c>
      <c r="X160" s="62" t="str">
        <f t="shared" si="21"/>
        <v/>
      </c>
      <c r="Y160" s="45"/>
      <c r="Z160" s="44"/>
      <c r="AA160" s="41"/>
      <c r="AB160" s="39"/>
      <c r="AC160" s="37" t="str">
        <f t="shared" si="22"/>
        <v/>
      </c>
    </row>
    <row r="161" spans="2:29" x14ac:dyDescent="0.25">
      <c r="B161" s="54">
        <v>155</v>
      </c>
      <c r="C161" s="168"/>
      <c r="D161" s="51"/>
      <c r="E161" s="29"/>
      <c r="F161" s="48"/>
      <c r="G161" s="29"/>
      <c r="H161" s="187"/>
      <c r="I161" s="187"/>
      <c r="J161" s="195"/>
      <c r="K161" s="86" t="str">
        <f t="shared" si="16"/>
        <v/>
      </c>
      <c r="L161" s="57" t="str">
        <f t="shared" si="23"/>
        <v/>
      </c>
      <c r="M161" s="186"/>
      <c r="N161" s="189"/>
      <c r="O161" s="190"/>
      <c r="P161" s="190" t="str">
        <f>IF(OR(ISBLANK(V161),COUNTBLANK(V161:$V$1048576)=ROWS(V161:$V$1048576)),"",$R$2*(1+SUM(V$7:V161)))</f>
        <v/>
      </c>
      <c r="Q161" s="191"/>
      <c r="R161" s="189"/>
      <c r="S161" s="53" t="str">
        <f t="shared" si="17"/>
        <v/>
      </c>
      <c r="T161" s="63" t="str">
        <f t="shared" si="18"/>
        <v/>
      </c>
      <c r="U161" s="64" t="str">
        <f>IF(OR(ISBLANK(Trades!R161), ISBLANK(Trades!H161), ISBLANK(Trades!I161)), "", IF(Trades!H161=Trades!I161, "N/A", (Trades!R161-Trades!H161)/(Trades!H161-Trades!I161)))</f>
        <v/>
      </c>
      <c r="V161" s="65" t="str">
        <f t="shared" si="19"/>
        <v/>
      </c>
      <c r="W161" s="66" t="str">
        <f t="shared" si="20"/>
        <v/>
      </c>
      <c r="X161" s="62" t="str">
        <f t="shared" si="21"/>
        <v/>
      </c>
      <c r="Y161" s="45"/>
      <c r="Z161" s="44"/>
      <c r="AA161" s="41"/>
      <c r="AB161" s="39"/>
      <c r="AC161" s="37" t="str">
        <f t="shared" si="22"/>
        <v/>
      </c>
    </row>
    <row r="162" spans="2:29" x14ac:dyDescent="0.25">
      <c r="B162" s="54">
        <v>156</v>
      </c>
      <c r="C162" s="168"/>
      <c r="D162" s="51"/>
      <c r="E162" s="29"/>
      <c r="F162" s="48"/>
      <c r="G162" s="29"/>
      <c r="H162" s="187"/>
      <c r="I162" s="187"/>
      <c r="J162" s="195"/>
      <c r="K162" s="86" t="str">
        <f t="shared" si="16"/>
        <v/>
      </c>
      <c r="L162" s="57" t="str">
        <f t="shared" si="23"/>
        <v/>
      </c>
      <c r="M162" s="186"/>
      <c r="N162" s="189"/>
      <c r="O162" s="190"/>
      <c r="P162" s="190" t="str">
        <f>IF(OR(ISBLANK(V162),COUNTBLANK(V162:$V$1048576)=ROWS(V162:$V$1048576)),"",$R$2*(1+SUM(V$7:V162)))</f>
        <v/>
      </c>
      <c r="Q162" s="191"/>
      <c r="R162" s="189"/>
      <c r="S162" s="53" t="str">
        <f t="shared" si="17"/>
        <v/>
      </c>
      <c r="T162" s="63" t="str">
        <f t="shared" si="18"/>
        <v/>
      </c>
      <c r="U162" s="64" t="str">
        <f>IF(OR(ISBLANK(Trades!R162), ISBLANK(Trades!H162), ISBLANK(Trades!I162)), "", IF(Trades!H162=Trades!I162, "N/A", (Trades!R162-Trades!H162)/(Trades!H162-Trades!I162)))</f>
        <v/>
      </c>
      <c r="V162" s="65" t="str">
        <f t="shared" si="19"/>
        <v/>
      </c>
      <c r="W162" s="66" t="str">
        <f t="shared" si="20"/>
        <v/>
      </c>
      <c r="X162" s="62" t="str">
        <f t="shared" si="21"/>
        <v/>
      </c>
      <c r="Y162" s="45"/>
      <c r="Z162" s="44"/>
      <c r="AA162" s="41"/>
      <c r="AB162" s="39"/>
      <c r="AC162" s="37" t="str">
        <f t="shared" si="22"/>
        <v/>
      </c>
    </row>
    <row r="163" spans="2:29" x14ac:dyDescent="0.25">
      <c r="B163" s="54">
        <v>157</v>
      </c>
      <c r="C163" s="168"/>
      <c r="D163" s="51"/>
      <c r="E163" s="29"/>
      <c r="F163" s="48"/>
      <c r="G163" s="29"/>
      <c r="H163" s="187"/>
      <c r="I163" s="187"/>
      <c r="J163" s="195"/>
      <c r="K163" s="86" t="str">
        <f t="shared" si="16"/>
        <v/>
      </c>
      <c r="L163" s="57" t="str">
        <f t="shared" si="23"/>
        <v/>
      </c>
      <c r="M163" s="186"/>
      <c r="N163" s="189"/>
      <c r="O163" s="190"/>
      <c r="P163" s="190" t="str">
        <f>IF(OR(ISBLANK(V163),COUNTBLANK(V163:$V$1048576)=ROWS(V163:$V$1048576)),"",$R$2*(1+SUM(V$7:V163)))</f>
        <v/>
      </c>
      <c r="Q163" s="191"/>
      <c r="R163" s="189"/>
      <c r="S163" s="53" t="str">
        <f t="shared" si="17"/>
        <v/>
      </c>
      <c r="T163" s="63" t="str">
        <f t="shared" si="18"/>
        <v/>
      </c>
      <c r="U163" s="64" t="str">
        <f>IF(OR(ISBLANK(Trades!R163), ISBLANK(Trades!H163), ISBLANK(Trades!I163)), "", IF(Trades!H163=Trades!I163, "N/A", (Trades!R163-Trades!H163)/(Trades!H163-Trades!I163)))</f>
        <v/>
      </c>
      <c r="V163" s="65" t="str">
        <f t="shared" si="19"/>
        <v/>
      </c>
      <c r="W163" s="66" t="str">
        <f t="shared" si="20"/>
        <v/>
      </c>
      <c r="X163" s="62" t="str">
        <f t="shared" si="21"/>
        <v/>
      </c>
      <c r="Y163" s="45"/>
      <c r="Z163" s="44"/>
      <c r="AA163" s="41"/>
      <c r="AB163" s="39"/>
      <c r="AC163" s="37" t="str">
        <f t="shared" si="22"/>
        <v/>
      </c>
    </row>
    <row r="164" spans="2:29" x14ac:dyDescent="0.25">
      <c r="B164" s="54">
        <v>158</v>
      </c>
      <c r="C164" s="168"/>
      <c r="D164" s="51"/>
      <c r="E164" s="29"/>
      <c r="F164" s="48"/>
      <c r="G164" s="29"/>
      <c r="H164" s="187"/>
      <c r="I164" s="187"/>
      <c r="J164" s="195"/>
      <c r="K164" s="86" t="str">
        <f t="shared" si="16"/>
        <v/>
      </c>
      <c r="L164" s="57" t="str">
        <f t="shared" si="23"/>
        <v/>
      </c>
      <c r="M164" s="186"/>
      <c r="N164" s="189"/>
      <c r="O164" s="190"/>
      <c r="P164" s="190" t="str">
        <f>IF(OR(ISBLANK(V164),COUNTBLANK(V164:$V$1048576)=ROWS(V164:$V$1048576)),"",$R$2*(1+SUM(V$7:V164)))</f>
        <v/>
      </c>
      <c r="Q164" s="191"/>
      <c r="R164" s="189"/>
      <c r="S164" s="53" t="str">
        <f t="shared" si="17"/>
        <v/>
      </c>
      <c r="T164" s="63" t="str">
        <f t="shared" si="18"/>
        <v/>
      </c>
      <c r="U164" s="64" t="str">
        <f>IF(OR(ISBLANK(Trades!R164), ISBLANK(Trades!H164), ISBLANK(Trades!I164)), "", IF(Trades!H164=Trades!I164, "N/A", (Trades!R164-Trades!H164)/(Trades!H164-Trades!I164)))</f>
        <v/>
      </c>
      <c r="V164" s="65" t="str">
        <f t="shared" si="19"/>
        <v/>
      </c>
      <c r="W164" s="66" t="str">
        <f t="shared" si="20"/>
        <v/>
      </c>
      <c r="X164" s="62" t="str">
        <f t="shared" si="21"/>
        <v/>
      </c>
      <c r="Y164" s="45"/>
      <c r="Z164" s="44"/>
      <c r="AA164" s="41"/>
      <c r="AB164" s="39"/>
      <c r="AC164" s="37" t="str">
        <f t="shared" si="22"/>
        <v/>
      </c>
    </row>
    <row r="165" spans="2:29" x14ac:dyDescent="0.25">
      <c r="B165" s="54">
        <v>159</v>
      </c>
      <c r="C165" s="168"/>
      <c r="D165" s="51"/>
      <c r="E165" s="29"/>
      <c r="F165" s="48"/>
      <c r="G165" s="29"/>
      <c r="H165" s="187"/>
      <c r="I165" s="187"/>
      <c r="J165" s="195"/>
      <c r="K165" s="86" t="str">
        <f t="shared" si="16"/>
        <v/>
      </c>
      <c r="L165" s="57" t="str">
        <f t="shared" si="23"/>
        <v/>
      </c>
      <c r="M165" s="186"/>
      <c r="N165" s="189"/>
      <c r="O165" s="190"/>
      <c r="P165" s="190" t="str">
        <f>IF(OR(ISBLANK(V165),COUNTBLANK(V165:$V$1048576)=ROWS(V165:$V$1048576)),"",$R$2*(1+SUM(V$7:V165)))</f>
        <v/>
      </c>
      <c r="Q165" s="191"/>
      <c r="R165" s="189"/>
      <c r="S165" s="53" t="str">
        <f t="shared" si="17"/>
        <v/>
      </c>
      <c r="T165" s="63" t="str">
        <f t="shared" si="18"/>
        <v/>
      </c>
      <c r="U165" s="64" t="str">
        <f>IF(OR(ISBLANK(Trades!R165), ISBLANK(Trades!H165), ISBLANK(Trades!I165)), "", IF(Trades!H165=Trades!I165, "N/A", (Trades!R165-Trades!H165)/(Trades!H165-Trades!I165)))</f>
        <v/>
      </c>
      <c r="V165" s="65" t="str">
        <f t="shared" si="19"/>
        <v/>
      </c>
      <c r="W165" s="66" t="str">
        <f t="shared" si="20"/>
        <v/>
      </c>
      <c r="X165" s="62" t="str">
        <f t="shared" si="21"/>
        <v/>
      </c>
      <c r="Y165" s="45"/>
      <c r="Z165" s="44"/>
      <c r="AA165" s="41"/>
      <c r="AB165" s="39"/>
      <c r="AC165" s="37" t="str">
        <f t="shared" si="22"/>
        <v/>
      </c>
    </row>
    <row r="166" spans="2:29" x14ac:dyDescent="0.25">
      <c r="B166" s="54">
        <v>160</v>
      </c>
      <c r="C166" s="168"/>
      <c r="D166" s="51"/>
      <c r="E166" s="29"/>
      <c r="F166" s="48"/>
      <c r="G166" s="29"/>
      <c r="H166" s="187"/>
      <c r="I166" s="187"/>
      <c r="J166" s="195"/>
      <c r="K166" s="86" t="str">
        <f t="shared" si="16"/>
        <v/>
      </c>
      <c r="L166" s="57" t="str">
        <f t="shared" si="23"/>
        <v/>
      </c>
      <c r="M166" s="186"/>
      <c r="N166" s="189"/>
      <c r="O166" s="190"/>
      <c r="P166" s="190" t="str">
        <f>IF(OR(ISBLANK(V166),COUNTBLANK(V166:$V$1048576)=ROWS(V166:$V$1048576)),"",$R$2*(1+SUM(V$7:V166)))</f>
        <v/>
      </c>
      <c r="Q166" s="191"/>
      <c r="R166" s="189"/>
      <c r="S166" s="53" t="str">
        <f t="shared" si="17"/>
        <v/>
      </c>
      <c r="T166" s="63" t="str">
        <f t="shared" si="18"/>
        <v/>
      </c>
      <c r="U166" s="64" t="str">
        <f>IF(OR(ISBLANK(Trades!R166), ISBLANK(Trades!H166), ISBLANK(Trades!I166)), "", IF(Trades!H166=Trades!I166, "N/A", (Trades!R166-Trades!H166)/(Trades!H166-Trades!I166)))</f>
        <v/>
      </c>
      <c r="V166" s="65" t="str">
        <f t="shared" si="19"/>
        <v/>
      </c>
      <c r="W166" s="66" t="str">
        <f t="shared" si="20"/>
        <v/>
      </c>
      <c r="X166" s="62" t="str">
        <f t="shared" si="21"/>
        <v/>
      </c>
      <c r="Y166" s="45"/>
      <c r="Z166" s="44"/>
      <c r="AA166" s="41"/>
      <c r="AB166" s="39"/>
      <c r="AC166" s="37" t="str">
        <f t="shared" si="22"/>
        <v/>
      </c>
    </row>
    <row r="167" spans="2:29" x14ac:dyDescent="0.25">
      <c r="B167" s="54">
        <v>161</v>
      </c>
      <c r="C167" s="168"/>
      <c r="D167" s="51"/>
      <c r="E167" s="29"/>
      <c r="F167" s="48"/>
      <c r="G167" s="29"/>
      <c r="H167" s="187"/>
      <c r="I167" s="187"/>
      <c r="J167" s="195"/>
      <c r="K167" s="86" t="str">
        <f t="shared" si="16"/>
        <v/>
      </c>
      <c r="L167" s="57" t="str">
        <f t="shared" si="23"/>
        <v/>
      </c>
      <c r="M167" s="186"/>
      <c r="N167" s="189"/>
      <c r="O167" s="190"/>
      <c r="P167" s="190" t="str">
        <f>IF(OR(ISBLANK(V167),COUNTBLANK(V167:$V$1048576)=ROWS(V167:$V$1048576)),"",$R$2*(1+SUM(V$7:V167)))</f>
        <v/>
      </c>
      <c r="Q167" s="191"/>
      <c r="R167" s="189"/>
      <c r="S167" s="53" t="str">
        <f t="shared" si="17"/>
        <v/>
      </c>
      <c r="T167" s="63" t="str">
        <f t="shared" si="18"/>
        <v/>
      </c>
      <c r="U167" s="64" t="str">
        <f>IF(OR(ISBLANK(Trades!R167), ISBLANK(Trades!H167), ISBLANK(Trades!I167)), "", IF(Trades!H167=Trades!I167, "N/A", (Trades!R167-Trades!H167)/(Trades!H167-Trades!I167)))</f>
        <v/>
      </c>
      <c r="V167" s="65" t="str">
        <f t="shared" si="19"/>
        <v/>
      </c>
      <c r="W167" s="66" t="str">
        <f t="shared" si="20"/>
        <v/>
      </c>
      <c r="X167" s="62" t="str">
        <f t="shared" si="21"/>
        <v/>
      </c>
      <c r="Y167" s="45"/>
      <c r="Z167" s="44"/>
      <c r="AA167" s="41"/>
      <c r="AB167" s="39"/>
      <c r="AC167" s="37" t="str">
        <f t="shared" si="22"/>
        <v/>
      </c>
    </row>
    <row r="168" spans="2:29" x14ac:dyDescent="0.25">
      <c r="B168" s="54">
        <v>162</v>
      </c>
      <c r="C168" s="168"/>
      <c r="D168" s="51"/>
      <c r="E168" s="29"/>
      <c r="F168" s="48"/>
      <c r="G168" s="29"/>
      <c r="H168" s="187"/>
      <c r="I168" s="187"/>
      <c r="J168" s="195"/>
      <c r="K168" s="86" t="str">
        <f t="shared" si="16"/>
        <v/>
      </c>
      <c r="L168" s="57" t="str">
        <f t="shared" si="23"/>
        <v/>
      </c>
      <c r="M168" s="186"/>
      <c r="N168" s="189"/>
      <c r="O168" s="190"/>
      <c r="P168" s="190" t="str">
        <f>IF(OR(ISBLANK(V168),COUNTBLANK(V168:$V$1048576)=ROWS(V168:$V$1048576)),"",$R$2*(1+SUM(V$7:V168)))</f>
        <v/>
      </c>
      <c r="Q168" s="191"/>
      <c r="R168" s="189"/>
      <c r="S168" s="53" t="str">
        <f t="shared" si="17"/>
        <v/>
      </c>
      <c r="T168" s="63" t="str">
        <f t="shared" si="18"/>
        <v/>
      </c>
      <c r="U168" s="64" t="str">
        <f>IF(OR(ISBLANK(Trades!R168), ISBLANK(Trades!H168), ISBLANK(Trades!I168)), "", IF(Trades!H168=Trades!I168, "N/A", (Trades!R168-Trades!H168)/(Trades!H168-Trades!I168)))</f>
        <v/>
      </c>
      <c r="V168" s="65" t="str">
        <f t="shared" si="19"/>
        <v/>
      </c>
      <c r="W168" s="66" t="str">
        <f t="shared" si="20"/>
        <v/>
      </c>
      <c r="X168" s="62" t="str">
        <f t="shared" si="21"/>
        <v/>
      </c>
      <c r="Y168" s="45"/>
      <c r="Z168" s="44"/>
      <c r="AA168" s="41"/>
      <c r="AB168" s="39"/>
      <c r="AC168" s="37" t="str">
        <f t="shared" si="22"/>
        <v/>
      </c>
    </row>
    <row r="169" spans="2:29" x14ac:dyDescent="0.25">
      <c r="B169" s="54">
        <v>163</v>
      </c>
      <c r="C169" s="168"/>
      <c r="D169" s="51"/>
      <c r="E169" s="29"/>
      <c r="F169" s="48"/>
      <c r="G169" s="29"/>
      <c r="H169" s="187"/>
      <c r="I169" s="187"/>
      <c r="J169" s="195"/>
      <c r="K169" s="86" t="str">
        <f t="shared" si="16"/>
        <v/>
      </c>
      <c r="L169" s="57" t="str">
        <f t="shared" si="23"/>
        <v/>
      </c>
      <c r="M169" s="186"/>
      <c r="N169" s="189"/>
      <c r="O169" s="190"/>
      <c r="P169" s="190" t="str">
        <f>IF(OR(ISBLANK(V169),COUNTBLANK(V169:$V$1048576)=ROWS(V169:$V$1048576)),"",$R$2*(1+SUM(V$7:V169)))</f>
        <v/>
      </c>
      <c r="Q169" s="191"/>
      <c r="R169" s="189"/>
      <c r="S169" s="53" t="str">
        <f t="shared" si="17"/>
        <v/>
      </c>
      <c r="T169" s="63" t="str">
        <f t="shared" si="18"/>
        <v/>
      </c>
      <c r="U169" s="64" t="str">
        <f>IF(OR(ISBLANK(Trades!R169), ISBLANK(Trades!H169), ISBLANK(Trades!I169)), "", IF(Trades!H169=Trades!I169, "N/A", (Trades!R169-Trades!H169)/(Trades!H169-Trades!I169)))</f>
        <v/>
      </c>
      <c r="V169" s="65" t="str">
        <f t="shared" si="19"/>
        <v/>
      </c>
      <c r="W169" s="66" t="str">
        <f t="shared" si="20"/>
        <v/>
      </c>
      <c r="X169" s="62" t="str">
        <f t="shared" si="21"/>
        <v/>
      </c>
      <c r="Y169" s="45"/>
      <c r="Z169" s="44"/>
      <c r="AA169" s="41"/>
      <c r="AB169" s="39"/>
      <c r="AC169" s="37" t="str">
        <f t="shared" si="22"/>
        <v/>
      </c>
    </row>
    <row r="170" spans="2:29" x14ac:dyDescent="0.25">
      <c r="B170" s="54">
        <v>164</v>
      </c>
      <c r="C170" s="168"/>
      <c r="D170" s="51"/>
      <c r="E170" s="29"/>
      <c r="F170" s="48"/>
      <c r="G170" s="29"/>
      <c r="H170" s="187"/>
      <c r="I170" s="187"/>
      <c r="J170" s="195"/>
      <c r="K170" s="86" t="str">
        <f t="shared" si="16"/>
        <v/>
      </c>
      <c r="L170" s="57" t="str">
        <f t="shared" si="23"/>
        <v/>
      </c>
      <c r="M170" s="186"/>
      <c r="N170" s="189"/>
      <c r="O170" s="190"/>
      <c r="P170" s="190" t="str">
        <f>IF(OR(ISBLANK(V170),COUNTBLANK(V170:$V$1048576)=ROWS(V170:$V$1048576)),"",$R$2*(1+SUM(V$7:V170)))</f>
        <v/>
      </c>
      <c r="Q170" s="191"/>
      <c r="R170" s="189"/>
      <c r="S170" s="53" t="str">
        <f t="shared" si="17"/>
        <v/>
      </c>
      <c r="T170" s="63" t="str">
        <f t="shared" si="18"/>
        <v/>
      </c>
      <c r="U170" s="64" t="str">
        <f>IF(OR(ISBLANK(Trades!R170), ISBLANK(Trades!H170), ISBLANK(Trades!I170)), "", IF(Trades!H170=Trades!I170, "N/A", (Trades!R170-Trades!H170)/(Trades!H170-Trades!I170)))</f>
        <v/>
      </c>
      <c r="V170" s="65" t="str">
        <f t="shared" si="19"/>
        <v/>
      </c>
      <c r="W170" s="66" t="str">
        <f t="shared" si="20"/>
        <v/>
      </c>
      <c r="X170" s="62" t="str">
        <f t="shared" si="21"/>
        <v/>
      </c>
      <c r="Y170" s="45"/>
      <c r="Z170" s="44"/>
      <c r="AA170" s="41"/>
      <c r="AB170" s="39"/>
      <c r="AC170" s="37" t="str">
        <f t="shared" si="22"/>
        <v/>
      </c>
    </row>
    <row r="171" spans="2:29" x14ac:dyDescent="0.25">
      <c r="B171" s="54">
        <v>165</v>
      </c>
      <c r="C171" s="168"/>
      <c r="D171" s="51"/>
      <c r="E171" s="29"/>
      <c r="F171" s="48"/>
      <c r="G171" s="29"/>
      <c r="H171" s="187"/>
      <c r="I171" s="187"/>
      <c r="J171" s="195"/>
      <c r="K171" s="86" t="str">
        <f t="shared" si="16"/>
        <v/>
      </c>
      <c r="L171" s="57" t="str">
        <f t="shared" si="23"/>
        <v/>
      </c>
      <c r="M171" s="186"/>
      <c r="N171" s="189"/>
      <c r="O171" s="190"/>
      <c r="P171" s="190" t="str">
        <f>IF(OR(ISBLANK(V171),COUNTBLANK(V171:$V$1048576)=ROWS(V171:$V$1048576)),"",$R$2*(1+SUM(V$7:V171)))</f>
        <v/>
      </c>
      <c r="Q171" s="191"/>
      <c r="R171" s="189"/>
      <c r="S171" s="53" t="str">
        <f t="shared" si="17"/>
        <v/>
      </c>
      <c r="T171" s="63" t="str">
        <f t="shared" si="18"/>
        <v/>
      </c>
      <c r="U171" s="64" t="str">
        <f>IF(OR(ISBLANK(Trades!R171), ISBLANK(Trades!H171), ISBLANK(Trades!I171)), "", IF(Trades!H171=Trades!I171, "N/A", (Trades!R171-Trades!H171)/(Trades!H171-Trades!I171)))</f>
        <v/>
      </c>
      <c r="V171" s="65" t="str">
        <f t="shared" si="19"/>
        <v/>
      </c>
      <c r="W171" s="66" t="str">
        <f t="shared" si="20"/>
        <v/>
      </c>
      <c r="X171" s="62" t="str">
        <f t="shared" si="21"/>
        <v/>
      </c>
      <c r="Y171" s="45"/>
      <c r="Z171" s="44"/>
      <c r="AA171" s="41"/>
      <c r="AB171" s="39"/>
      <c r="AC171" s="37" t="str">
        <f t="shared" si="22"/>
        <v/>
      </c>
    </row>
    <row r="172" spans="2:29" x14ac:dyDescent="0.25">
      <c r="B172" s="54">
        <v>166</v>
      </c>
      <c r="C172" s="168"/>
      <c r="D172" s="51"/>
      <c r="E172" s="29"/>
      <c r="F172" s="48"/>
      <c r="G172" s="29"/>
      <c r="H172" s="187"/>
      <c r="I172" s="187"/>
      <c r="J172" s="195"/>
      <c r="K172" s="86" t="str">
        <f t="shared" si="16"/>
        <v/>
      </c>
      <c r="L172" s="57" t="str">
        <f t="shared" si="23"/>
        <v/>
      </c>
      <c r="M172" s="186"/>
      <c r="N172" s="189"/>
      <c r="O172" s="190"/>
      <c r="P172" s="190" t="str">
        <f>IF(OR(ISBLANK(V172),COUNTBLANK(V172:$V$1048576)=ROWS(V172:$V$1048576)),"",$R$2*(1+SUM(V$7:V172)))</f>
        <v/>
      </c>
      <c r="Q172" s="191"/>
      <c r="R172" s="189"/>
      <c r="S172" s="53" t="str">
        <f t="shared" si="17"/>
        <v/>
      </c>
      <c r="T172" s="63" t="str">
        <f t="shared" si="18"/>
        <v/>
      </c>
      <c r="U172" s="64" t="str">
        <f>IF(OR(ISBLANK(Trades!R172), ISBLANK(Trades!H172), ISBLANK(Trades!I172)), "", IF(Trades!H172=Trades!I172, "N/A", (Trades!R172-Trades!H172)/(Trades!H172-Trades!I172)))</f>
        <v/>
      </c>
      <c r="V172" s="65" t="str">
        <f t="shared" si="19"/>
        <v/>
      </c>
      <c r="W172" s="66" t="str">
        <f t="shared" si="20"/>
        <v/>
      </c>
      <c r="X172" s="62" t="str">
        <f t="shared" si="21"/>
        <v/>
      </c>
      <c r="Y172" s="45"/>
      <c r="Z172" s="44"/>
      <c r="AA172" s="41"/>
      <c r="AB172" s="39"/>
      <c r="AC172" s="37" t="str">
        <f t="shared" si="22"/>
        <v/>
      </c>
    </row>
    <row r="173" spans="2:29" x14ac:dyDescent="0.25">
      <c r="B173" s="54">
        <v>167</v>
      </c>
      <c r="C173" s="168"/>
      <c r="D173" s="51"/>
      <c r="E173" s="29"/>
      <c r="F173" s="48"/>
      <c r="G173" s="29"/>
      <c r="H173" s="187"/>
      <c r="I173" s="187"/>
      <c r="J173" s="195"/>
      <c r="K173" s="86" t="str">
        <f t="shared" si="16"/>
        <v/>
      </c>
      <c r="L173" s="57" t="str">
        <f t="shared" si="23"/>
        <v/>
      </c>
      <c r="M173" s="186"/>
      <c r="N173" s="189"/>
      <c r="O173" s="190"/>
      <c r="P173" s="190" t="str">
        <f>IF(OR(ISBLANK(V173),COUNTBLANK(V173:$V$1048576)=ROWS(V173:$V$1048576)),"",$R$2*(1+SUM(V$7:V173)))</f>
        <v/>
      </c>
      <c r="Q173" s="191"/>
      <c r="R173" s="189"/>
      <c r="S173" s="53" t="str">
        <f t="shared" si="17"/>
        <v/>
      </c>
      <c r="T173" s="63" t="str">
        <f t="shared" si="18"/>
        <v/>
      </c>
      <c r="U173" s="64" t="str">
        <f>IF(OR(ISBLANK(Trades!R173), ISBLANK(Trades!H173), ISBLANK(Trades!I173)), "", IF(Trades!H173=Trades!I173, "N/A", (Trades!R173-Trades!H173)/(Trades!H173-Trades!I173)))</f>
        <v/>
      </c>
      <c r="V173" s="65" t="str">
        <f t="shared" si="19"/>
        <v/>
      </c>
      <c r="W173" s="66" t="str">
        <f t="shared" si="20"/>
        <v/>
      </c>
      <c r="X173" s="62" t="str">
        <f t="shared" si="21"/>
        <v/>
      </c>
      <c r="Y173" s="45"/>
      <c r="Z173" s="44"/>
      <c r="AA173" s="41"/>
      <c r="AB173" s="39"/>
      <c r="AC173" s="37" t="str">
        <f t="shared" si="22"/>
        <v/>
      </c>
    </row>
    <row r="174" spans="2:29" x14ac:dyDescent="0.25">
      <c r="B174" s="54">
        <v>168</v>
      </c>
      <c r="C174" s="168"/>
      <c r="D174" s="51"/>
      <c r="E174" s="29"/>
      <c r="F174" s="48"/>
      <c r="G174" s="29"/>
      <c r="H174" s="187"/>
      <c r="I174" s="187"/>
      <c r="J174" s="195"/>
      <c r="K174" s="86" t="str">
        <f t="shared" si="16"/>
        <v/>
      </c>
      <c r="L174" s="57" t="str">
        <f t="shared" si="23"/>
        <v/>
      </c>
      <c r="M174" s="186"/>
      <c r="N174" s="189"/>
      <c r="O174" s="190"/>
      <c r="P174" s="190" t="str">
        <f>IF(OR(ISBLANK(V174),COUNTBLANK(V174:$V$1048576)=ROWS(V174:$V$1048576)),"",$R$2*(1+SUM(V$7:V174)))</f>
        <v/>
      </c>
      <c r="Q174" s="191"/>
      <c r="R174" s="189"/>
      <c r="S174" s="53" t="str">
        <f t="shared" si="17"/>
        <v/>
      </c>
      <c r="T174" s="63" t="str">
        <f t="shared" si="18"/>
        <v/>
      </c>
      <c r="U174" s="64" t="str">
        <f>IF(OR(ISBLANK(Trades!R174), ISBLANK(Trades!H174), ISBLANK(Trades!I174)), "", IF(Trades!H174=Trades!I174, "N/A", (Trades!R174-Trades!H174)/(Trades!H174-Trades!I174)))</f>
        <v/>
      </c>
      <c r="V174" s="65" t="str">
        <f t="shared" si="19"/>
        <v/>
      </c>
      <c r="W174" s="66" t="str">
        <f t="shared" si="20"/>
        <v/>
      </c>
      <c r="X174" s="62" t="str">
        <f t="shared" si="21"/>
        <v/>
      </c>
      <c r="Y174" s="45"/>
      <c r="Z174" s="44"/>
      <c r="AA174" s="41"/>
      <c r="AB174" s="39"/>
      <c r="AC174" s="37" t="str">
        <f t="shared" si="22"/>
        <v/>
      </c>
    </row>
    <row r="175" spans="2:29" x14ac:dyDescent="0.25">
      <c r="B175" s="54">
        <v>169</v>
      </c>
      <c r="C175" s="168"/>
      <c r="D175" s="51"/>
      <c r="E175" s="29"/>
      <c r="F175" s="48"/>
      <c r="G175" s="29"/>
      <c r="H175" s="187"/>
      <c r="I175" s="187"/>
      <c r="J175" s="195"/>
      <c r="K175" s="86" t="str">
        <f t="shared" si="16"/>
        <v/>
      </c>
      <c r="L175" s="57" t="str">
        <f t="shared" si="23"/>
        <v/>
      </c>
      <c r="M175" s="186"/>
      <c r="N175" s="189"/>
      <c r="O175" s="190"/>
      <c r="P175" s="190" t="str">
        <f>IF(OR(ISBLANK(V175),COUNTBLANK(V175:$V$1048576)=ROWS(V175:$V$1048576)),"",$R$2*(1+SUM(V$7:V175)))</f>
        <v/>
      </c>
      <c r="Q175" s="191"/>
      <c r="R175" s="189"/>
      <c r="S175" s="53" t="str">
        <f t="shared" si="17"/>
        <v/>
      </c>
      <c r="T175" s="63" t="str">
        <f t="shared" si="18"/>
        <v/>
      </c>
      <c r="U175" s="64" t="str">
        <f>IF(OR(ISBLANK(Trades!R175), ISBLANK(Trades!H175), ISBLANK(Trades!I175)), "", IF(Trades!H175=Trades!I175, "N/A", (Trades!R175-Trades!H175)/(Trades!H175-Trades!I175)))</f>
        <v/>
      </c>
      <c r="V175" s="65" t="str">
        <f t="shared" si="19"/>
        <v/>
      </c>
      <c r="W175" s="66" t="str">
        <f t="shared" si="20"/>
        <v/>
      </c>
      <c r="X175" s="62" t="str">
        <f t="shared" si="21"/>
        <v/>
      </c>
      <c r="Y175" s="45"/>
      <c r="Z175" s="44"/>
      <c r="AA175" s="41"/>
      <c r="AB175" s="39"/>
      <c r="AC175" s="37" t="str">
        <f t="shared" si="22"/>
        <v/>
      </c>
    </row>
    <row r="176" spans="2:29" x14ac:dyDescent="0.25">
      <c r="B176" s="54">
        <v>170</v>
      </c>
      <c r="C176" s="168"/>
      <c r="D176" s="51"/>
      <c r="E176" s="29"/>
      <c r="F176" s="48"/>
      <c r="G176" s="29"/>
      <c r="H176" s="187"/>
      <c r="I176" s="187"/>
      <c r="J176" s="195"/>
      <c r="K176" s="86" t="str">
        <f t="shared" si="16"/>
        <v/>
      </c>
      <c r="L176" s="57" t="str">
        <f t="shared" si="23"/>
        <v/>
      </c>
      <c r="M176" s="186"/>
      <c r="N176" s="189"/>
      <c r="O176" s="190"/>
      <c r="P176" s="190" t="str">
        <f>IF(OR(ISBLANK(V176),COUNTBLANK(V176:$V$1048576)=ROWS(V176:$V$1048576)),"",$R$2*(1+SUM(V$7:V176)))</f>
        <v/>
      </c>
      <c r="Q176" s="191"/>
      <c r="R176" s="189"/>
      <c r="S176" s="53" t="str">
        <f t="shared" si="17"/>
        <v/>
      </c>
      <c r="T176" s="63" t="str">
        <f t="shared" si="18"/>
        <v/>
      </c>
      <c r="U176" s="64" t="str">
        <f>IF(OR(ISBLANK(Trades!R176), ISBLANK(Trades!H176), ISBLANK(Trades!I176)), "", IF(Trades!H176=Trades!I176, "N/A", (Trades!R176-Trades!H176)/(Trades!H176-Trades!I176)))</f>
        <v/>
      </c>
      <c r="V176" s="65" t="str">
        <f t="shared" si="19"/>
        <v/>
      </c>
      <c r="W176" s="66" t="str">
        <f t="shared" si="20"/>
        <v/>
      </c>
      <c r="X176" s="62" t="str">
        <f t="shared" si="21"/>
        <v/>
      </c>
      <c r="Y176" s="45"/>
      <c r="Z176" s="44"/>
      <c r="AA176" s="41"/>
      <c r="AB176" s="39"/>
      <c r="AC176" s="37" t="str">
        <f t="shared" si="22"/>
        <v/>
      </c>
    </row>
    <row r="177" spans="2:29" x14ac:dyDescent="0.25">
      <c r="B177" s="54">
        <v>171</v>
      </c>
      <c r="C177" s="168"/>
      <c r="D177" s="51"/>
      <c r="E177" s="29"/>
      <c r="F177" s="48"/>
      <c r="G177" s="29"/>
      <c r="H177" s="187"/>
      <c r="I177" s="187"/>
      <c r="J177" s="195"/>
      <c r="K177" s="86" t="str">
        <f t="shared" si="16"/>
        <v/>
      </c>
      <c r="L177" s="57" t="str">
        <f t="shared" si="23"/>
        <v/>
      </c>
      <c r="M177" s="186"/>
      <c r="N177" s="189"/>
      <c r="O177" s="190"/>
      <c r="P177" s="190" t="str">
        <f>IF(OR(ISBLANK(V177),COUNTBLANK(V177:$V$1048576)=ROWS(V177:$V$1048576)),"",$R$2*(1+SUM(V$7:V177)))</f>
        <v/>
      </c>
      <c r="Q177" s="191"/>
      <c r="R177" s="189"/>
      <c r="S177" s="53" t="str">
        <f t="shared" si="17"/>
        <v/>
      </c>
      <c r="T177" s="63" t="str">
        <f t="shared" si="18"/>
        <v/>
      </c>
      <c r="U177" s="64" t="str">
        <f>IF(OR(ISBLANK(Trades!R177), ISBLANK(Trades!H177), ISBLANK(Trades!I177)), "", IF(Trades!H177=Trades!I177, "N/A", (Trades!R177-Trades!H177)/(Trades!H177-Trades!I177)))</f>
        <v/>
      </c>
      <c r="V177" s="65" t="str">
        <f t="shared" si="19"/>
        <v/>
      </c>
      <c r="W177" s="66" t="str">
        <f t="shared" si="20"/>
        <v/>
      </c>
      <c r="X177" s="62" t="str">
        <f t="shared" si="21"/>
        <v/>
      </c>
      <c r="Y177" s="45"/>
      <c r="Z177" s="44"/>
      <c r="AA177" s="41"/>
      <c r="AB177" s="39"/>
      <c r="AC177" s="37" t="str">
        <f t="shared" si="22"/>
        <v/>
      </c>
    </row>
    <row r="178" spans="2:29" x14ac:dyDescent="0.25">
      <c r="B178" s="54">
        <v>172</v>
      </c>
      <c r="C178" s="168"/>
      <c r="D178" s="51"/>
      <c r="E178" s="29"/>
      <c r="F178" s="48"/>
      <c r="G178" s="29"/>
      <c r="H178" s="187"/>
      <c r="I178" s="187"/>
      <c r="J178" s="195"/>
      <c r="K178" s="86" t="str">
        <f t="shared" si="16"/>
        <v/>
      </c>
      <c r="L178" s="57" t="str">
        <f t="shared" si="23"/>
        <v/>
      </c>
      <c r="M178" s="186"/>
      <c r="N178" s="189"/>
      <c r="O178" s="190"/>
      <c r="P178" s="190" t="str">
        <f>IF(OR(ISBLANK(V178),COUNTBLANK(V178:$V$1048576)=ROWS(V178:$V$1048576)),"",$R$2*(1+SUM(V$7:V178)))</f>
        <v/>
      </c>
      <c r="Q178" s="191"/>
      <c r="R178" s="189"/>
      <c r="S178" s="53" t="str">
        <f t="shared" si="17"/>
        <v/>
      </c>
      <c r="T178" s="63" t="str">
        <f t="shared" si="18"/>
        <v/>
      </c>
      <c r="U178" s="64" t="str">
        <f>IF(OR(ISBLANK(Trades!R178), ISBLANK(Trades!H178), ISBLANK(Trades!I178)), "", IF(Trades!H178=Trades!I178, "N/A", (Trades!R178-Trades!H178)/(Trades!H178-Trades!I178)))</f>
        <v/>
      </c>
      <c r="V178" s="65" t="str">
        <f t="shared" si="19"/>
        <v/>
      </c>
      <c r="W178" s="66" t="str">
        <f t="shared" si="20"/>
        <v/>
      </c>
      <c r="X178" s="62" t="str">
        <f t="shared" si="21"/>
        <v/>
      </c>
      <c r="Y178" s="45"/>
      <c r="Z178" s="44"/>
      <c r="AA178" s="41"/>
      <c r="AB178" s="39"/>
      <c r="AC178" s="37" t="str">
        <f t="shared" si="22"/>
        <v/>
      </c>
    </row>
    <row r="179" spans="2:29" x14ac:dyDescent="0.25">
      <c r="B179" s="54">
        <v>173</v>
      </c>
      <c r="C179" s="168"/>
      <c r="D179" s="51"/>
      <c r="E179" s="29"/>
      <c r="F179" s="48"/>
      <c r="G179" s="29"/>
      <c r="H179" s="187"/>
      <c r="I179" s="187"/>
      <c r="J179" s="195"/>
      <c r="K179" s="86" t="str">
        <f t="shared" si="16"/>
        <v/>
      </c>
      <c r="L179" s="57" t="str">
        <f t="shared" si="23"/>
        <v/>
      </c>
      <c r="M179" s="186"/>
      <c r="N179" s="189"/>
      <c r="O179" s="190"/>
      <c r="P179" s="190" t="str">
        <f>IF(OR(ISBLANK(V179),COUNTBLANK(V179:$V$1048576)=ROWS(V179:$V$1048576)),"",$R$2*(1+SUM(V$7:V179)))</f>
        <v/>
      </c>
      <c r="Q179" s="191"/>
      <c r="R179" s="189"/>
      <c r="S179" s="53" t="str">
        <f t="shared" si="17"/>
        <v/>
      </c>
      <c r="T179" s="63" t="str">
        <f t="shared" si="18"/>
        <v/>
      </c>
      <c r="U179" s="64" t="str">
        <f>IF(OR(ISBLANK(Trades!R179), ISBLANK(Trades!H179), ISBLANK(Trades!I179)), "", IF(Trades!H179=Trades!I179, "N/A", (Trades!R179-Trades!H179)/(Trades!H179-Trades!I179)))</f>
        <v/>
      </c>
      <c r="V179" s="65" t="str">
        <f t="shared" si="19"/>
        <v/>
      </c>
      <c r="W179" s="66" t="str">
        <f t="shared" si="20"/>
        <v/>
      </c>
      <c r="X179" s="62" t="str">
        <f t="shared" si="21"/>
        <v/>
      </c>
      <c r="Y179" s="45"/>
      <c r="Z179" s="44"/>
      <c r="AA179" s="41"/>
      <c r="AB179" s="39"/>
      <c r="AC179" s="37" t="str">
        <f t="shared" si="22"/>
        <v/>
      </c>
    </row>
    <row r="180" spans="2:29" x14ac:dyDescent="0.25">
      <c r="B180" s="54">
        <v>174</v>
      </c>
      <c r="C180" s="168"/>
      <c r="D180" s="51"/>
      <c r="E180" s="29"/>
      <c r="F180" s="48"/>
      <c r="G180" s="29"/>
      <c r="H180" s="187"/>
      <c r="I180" s="187"/>
      <c r="J180" s="195"/>
      <c r="K180" s="86" t="str">
        <f t="shared" si="16"/>
        <v/>
      </c>
      <c r="L180" s="57" t="str">
        <f t="shared" si="23"/>
        <v/>
      </c>
      <c r="M180" s="186"/>
      <c r="N180" s="189"/>
      <c r="O180" s="190"/>
      <c r="P180" s="190" t="str">
        <f>IF(OR(ISBLANK(V180),COUNTBLANK(V180:$V$1048576)=ROWS(V180:$V$1048576)),"",$R$2*(1+SUM(V$7:V180)))</f>
        <v/>
      </c>
      <c r="Q180" s="191"/>
      <c r="R180" s="189"/>
      <c r="S180" s="53" t="str">
        <f t="shared" si="17"/>
        <v/>
      </c>
      <c r="T180" s="63" t="str">
        <f t="shared" si="18"/>
        <v/>
      </c>
      <c r="U180" s="64" t="str">
        <f>IF(OR(ISBLANK(Trades!R180), ISBLANK(Trades!H180), ISBLANK(Trades!I180)), "", IF(Trades!H180=Trades!I180, "N/A", (Trades!R180-Trades!H180)/(Trades!H180-Trades!I180)))</f>
        <v/>
      </c>
      <c r="V180" s="65" t="str">
        <f t="shared" si="19"/>
        <v/>
      </c>
      <c r="W180" s="66" t="str">
        <f t="shared" si="20"/>
        <v/>
      </c>
      <c r="X180" s="62" t="str">
        <f t="shared" si="21"/>
        <v/>
      </c>
      <c r="Y180" s="45"/>
      <c r="Z180" s="44"/>
      <c r="AA180" s="41"/>
      <c r="AB180" s="39"/>
      <c r="AC180" s="37" t="str">
        <f t="shared" si="22"/>
        <v/>
      </c>
    </row>
    <row r="181" spans="2:29" x14ac:dyDescent="0.25">
      <c r="B181" s="54">
        <v>175</v>
      </c>
      <c r="C181" s="168"/>
      <c r="D181" s="51"/>
      <c r="E181" s="29"/>
      <c r="F181" s="48"/>
      <c r="G181" s="29"/>
      <c r="H181" s="187"/>
      <c r="I181" s="187"/>
      <c r="J181" s="195"/>
      <c r="K181" s="86" t="str">
        <f t="shared" si="16"/>
        <v/>
      </c>
      <c r="L181" s="57" t="str">
        <f t="shared" si="23"/>
        <v/>
      </c>
      <c r="M181" s="186"/>
      <c r="N181" s="189"/>
      <c r="O181" s="190"/>
      <c r="P181" s="190" t="str">
        <f>IF(OR(ISBLANK(V181),COUNTBLANK(V181:$V$1048576)=ROWS(V181:$V$1048576)),"",$R$2*(1+SUM(V$7:V181)))</f>
        <v/>
      </c>
      <c r="Q181" s="191"/>
      <c r="R181" s="189"/>
      <c r="S181" s="53" t="str">
        <f t="shared" si="17"/>
        <v/>
      </c>
      <c r="T181" s="63" t="str">
        <f t="shared" si="18"/>
        <v/>
      </c>
      <c r="U181" s="64" t="str">
        <f>IF(OR(ISBLANK(Trades!R181), ISBLANK(Trades!H181), ISBLANK(Trades!I181)), "", IF(Trades!H181=Trades!I181, "N/A", (Trades!R181-Trades!H181)/(Trades!H181-Trades!I181)))</f>
        <v/>
      </c>
      <c r="V181" s="65" t="str">
        <f t="shared" si="19"/>
        <v/>
      </c>
      <c r="W181" s="66" t="str">
        <f t="shared" si="20"/>
        <v/>
      </c>
      <c r="X181" s="62" t="str">
        <f t="shared" si="21"/>
        <v/>
      </c>
      <c r="Y181" s="45"/>
      <c r="Z181" s="44"/>
      <c r="AA181" s="41"/>
      <c r="AB181" s="39"/>
      <c r="AC181" s="37" t="str">
        <f t="shared" si="22"/>
        <v/>
      </c>
    </row>
    <row r="182" spans="2:29" x14ac:dyDescent="0.25">
      <c r="B182" s="54">
        <v>176</v>
      </c>
      <c r="C182" s="168"/>
      <c r="D182" s="51"/>
      <c r="E182" s="29"/>
      <c r="F182" s="48"/>
      <c r="G182" s="29"/>
      <c r="H182" s="187"/>
      <c r="I182" s="187"/>
      <c r="J182" s="195"/>
      <c r="K182" s="86" t="str">
        <f t="shared" si="16"/>
        <v/>
      </c>
      <c r="L182" s="57" t="str">
        <f t="shared" si="23"/>
        <v/>
      </c>
      <c r="M182" s="186"/>
      <c r="N182" s="189"/>
      <c r="O182" s="190"/>
      <c r="P182" s="190" t="str">
        <f>IF(OR(ISBLANK(V182),COUNTBLANK(V182:$V$1048576)=ROWS(V182:$V$1048576)),"",$R$2*(1+SUM(V$7:V182)))</f>
        <v/>
      </c>
      <c r="Q182" s="191"/>
      <c r="R182" s="189"/>
      <c r="S182" s="53" t="str">
        <f t="shared" si="17"/>
        <v/>
      </c>
      <c r="T182" s="63" t="str">
        <f t="shared" si="18"/>
        <v/>
      </c>
      <c r="U182" s="64" t="str">
        <f>IF(OR(ISBLANK(Trades!R182), ISBLANK(Trades!H182), ISBLANK(Trades!I182)), "", IF(Trades!H182=Trades!I182, "N/A", (Trades!R182-Trades!H182)/(Trades!H182-Trades!I182)))</f>
        <v/>
      </c>
      <c r="V182" s="65" t="str">
        <f t="shared" si="19"/>
        <v/>
      </c>
      <c r="W182" s="66" t="str">
        <f t="shared" si="20"/>
        <v/>
      </c>
      <c r="X182" s="62" t="str">
        <f t="shared" si="21"/>
        <v/>
      </c>
      <c r="Y182" s="45"/>
      <c r="Z182" s="44"/>
      <c r="AA182" s="41"/>
      <c r="AB182" s="39"/>
      <c r="AC182" s="37" t="str">
        <f t="shared" si="22"/>
        <v/>
      </c>
    </row>
    <row r="183" spans="2:29" x14ac:dyDescent="0.25">
      <c r="B183" s="54">
        <v>177</v>
      </c>
      <c r="C183" s="168"/>
      <c r="D183" s="51"/>
      <c r="E183" s="29"/>
      <c r="F183" s="48"/>
      <c r="G183" s="29"/>
      <c r="H183" s="187"/>
      <c r="I183" s="187"/>
      <c r="J183" s="195"/>
      <c r="K183" s="86" t="str">
        <f t="shared" si="16"/>
        <v/>
      </c>
      <c r="L183" s="57" t="str">
        <f t="shared" si="23"/>
        <v/>
      </c>
      <c r="M183" s="186"/>
      <c r="N183" s="189"/>
      <c r="O183" s="190"/>
      <c r="P183" s="190" t="str">
        <f>IF(OR(ISBLANK(V183),COUNTBLANK(V183:$V$1048576)=ROWS(V183:$V$1048576)),"",$R$2*(1+SUM(V$7:V183)))</f>
        <v/>
      </c>
      <c r="Q183" s="191"/>
      <c r="R183" s="189"/>
      <c r="S183" s="53" t="str">
        <f t="shared" si="17"/>
        <v/>
      </c>
      <c r="T183" s="63" t="str">
        <f t="shared" si="18"/>
        <v/>
      </c>
      <c r="U183" s="64" t="str">
        <f>IF(OR(ISBLANK(Trades!R183), ISBLANK(Trades!H183), ISBLANK(Trades!I183)), "", IF(Trades!H183=Trades!I183, "N/A", (Trades!R183-Trades!H183)/(Trades!H183-Trades!I183)))</f>
        <v/>
      </c>
      <c r="V183" s="65" t="str">
        <f t="shared" si="19"/>
        <v/>
      </c>
      <c r="W183" s="66" t="str">
        <f t="shared" si="20"/>
        <v/>
      </c>
      <c r="X183" s="62" t="str">
        <f t="shared" si="21"/>
        <v/>
      </c>
      <c r="Y183" s="45"/>
      <c r="Z183" s="44"/>
      <c r="AA183" s="41"/>
      <c r="AB183" s="39"/>
      <c r="AC183" s="37" t="str">
        <f t="shared" si="22"/>
        <v/>
      </c>
    </row>
    <row r="184" spans="2:29" x14ac:dyDescent="0.25">
      <c r="B184" s="54">
        <v>178</v>
      </c>
      <c r="C184" s="168"/>
      <c r="D184" s="51"/>
      <c r="E184" s="29"/>
      <c r="F184" s="48"/>
      <c r="G184" s="29"/>
      <c r="H184" s="187"/>
      <c r="I184" s="187"/>
      <c r="J184" s="195"/>
      <c r="K184" s="86" t="str">
        <f t="shared" si="16"/>
        <v/>
      </c>
      <c r="L184" s="57" t="str">
        <f t="shared" si="23"/>
        <v/>
      </c>
      <c r="M184" s="186"/>
      <c r="N184" s="189"/>
      <c r="O184" s="190"/>
      <c r="P184" s="190" t="str">
        <f>IF(OR(ISBLANK(V184),COUNTBLANK(V184:$V$1048576)=ROWS(V184:$V$1048576)),"",$R$2*(1+SUM(V$7:V184)))</f>
        <v/>
      </c>
      <c r="Q184" s="191"/>
      <c r="R184" s="189"/>
      <c r="S184" s="53" t="str">
        <f t="shared" si="17"/>
        <v/>
      </c>
      <c r="T184" s="63" t="str">
        <f t="shared" si="18"/>
        <v/>
      </c>
      <c r="U184" s="64" t="str">
        <f>IF(OR(ISBLANK(Trades!R184), ISBLANK(Trades!H184), ISBLANK(Trades!I184)), "", IF(Trades!H184=Trades!I184, "N/A", (Trades!R184-Trades!H184)/(Trades!H184-Trades!I184)))</f>
        <v/>
      </c>
      <c r="V184" s="65" t="str">
        <f t="shared" si="19"/>
        <v/>
      </c>
      <c r="W184" s="66" t="str">
        <f t="shared" si="20"/>
        <v/>
      </c>
      <c r="X184" s="62" t="str">
        <f t="shared" si="21"/>
        <v/>
      </c>
      <c r="Y184" s="45"/>
      <c r="Z184" s="44"/>
      <c r="AA184" s="41"/>
      <c r="AB184" s="39"/>
      <c r="AC184" s="37" t="str">
        <f t="shared" si="22"/>
        <v/>
      </c>
    </row>
    <row r="185" spans="2:29" x14ac:dyDescent="0.25">
      <c r="B185" s="54">
        <v>179</v>
      </c>
      <c r="C185" s="168"/>
      <c r="D185" s="51"/>
      <c r="E185" s="29"/>
      <c r="F185" s="48"/>
      <c r="G185" s="29"/>
      <c r="H185" s="187"/>
      <c r="I185" s="187"/>
      <c r="J185" s="195"/>
      <c r="K185" s="86" t="str">
        <f t="shared" si="16"/>
        <v/>
      </c>
      <c r="L185" s="57" t="str">
        <f t="shared" si="23"/>
        <v/>
      </c>
      <c r="M185" s="186"/>
      <c r="N185" s="189"/>
      <c r="O185" s="190"/>
      <c r="P185" s="190" t="str">
        <f>IF(OR(ISBLANK(V185),COUNTBLANK(V185:$V$1048576)=ROWS(V185:$V$1048576)),"",$R$2*(1+SUM(V$7:V185)))</f>
        <v/>
      </c>
      <c r="Q185" s="191"/>
      <c r="R185" s="189"/>
      <c r="S185" s="53" t="str">
        <f t="shared" si="17"/>
        <v/>
      </c>
      <c r="T185" s="63" t="str">
        <f t="shared" si="18"/>
        <v/>
      </c>
      <c r="U185" s="64" t="str">
        <f>IF(OR(ISBLANK(Trades!R185), ISBLANK(Trades!H185), ISBLANK(Trades!I185)), "", IF(Trades!H185=Trades!I185, "N/A", (Trades!R185-Trades!H185)/(Trades!H185-Trades!I185)))</f>
        <v/>
      </c>
      <c r="V185" s="65" t="str">
        <f t="shared" si="19"/>
        <v/>
      </c>
      <c r="W185" s="66" t="str">
        <f t="shared" si="20"/>
        <v/>
      </c>
      <c r="X185" s="62" t="str">
        <f t="shared" si="21"/>
        <v/>
      </c>
      <c r="Y185" s="45"/>
      <c r="Z185" s="44"/>
      <c r="AA185" s="41"/>
      <c r="AB185" s="39"/>
      <c r="AC185" s="37" t="str">
        <f t="shared" si="22"/>
        <v/>
      </c>
    </row>
    <row r="186" spans="2:29" x14ac:dyDescent="0.25">
      <c r="B186" s="54">
        <v>180</v>
      </c>
      <c r="C186" s="168"/>
      <c r="D186" s="51"/>
      <c r="E186" s="29"/>
      <c r="F186" s="48"/>
      <c r="G186" s="29"/>
      <c r="H186" s="187"/>
      <c r="I186" s="187"/>
      <c r="J186" s="195"/>
      <c r="K186" s="86" t="str">
        <f t="shared" si="16"/>
        <v/>
      </c>
      <c r="L186" s="57" t="str">
        <f t="shared" si="23"/>
        <v/>
      </c>
      <c r="M186" s="186"/>
      <c r="N186" s="189"/>
      <c r="O186" s="190"/>
      <c r="P186" s="190" t="str">
        <f>IF(OR(ISBLANK(V186),COUNTBLANK(V186:$V$1048576)=ROWS(V186:$V$1048576)),"",$R$2*(1+SUM(V$7:V186)))</f>
        <v/>
      </c>
      <c r="Q186" s="191"/>
      <c r="R186" s="189"/>
      <c r="S186" s="53" t="str">
        <f t="shared" si="17"/>
        <v/>
      </c>
      <c r="T186" s="63" t="str">
        <f t="shared" si="18"/>
        <v/>
      </c>
      <c r="U186" s="64" t="str">
        <f>IF(OR(ISBLANK(Trades!R186), ISBLANK(Trades!H186), ISBLANK(Trades!I186)), "", IF(Trades!H186=Trades!I186, "N/A", (Trades!R186-Trades!H186)/(Trades!H186-Trades!I186)))</f>
        <v/>
      </c>
      <c r="V186" s="65" t="str">
        <f t="shared" si="19"/>
        <v/>
      </c>
      <c r="W186" s="66" t="str">
        <f t="shared" si="20"/>
        <v/>
      </c>
      <c r="X186" s="62" t="str">
        <f t="shared" si="21"/>
        <v/>
      </c>
      <c r="Y186" s="45"/>
      <c r="Z186" s="44"/>
      <c r="AA186" s="41"/>
      <c r="AB186" s="39"/>
      <c r="AC186" s="37" t="str">
        <f t="shared" si="22"/>
        <v/>
      </c>
    </row>
    <row r="187" spans="2:29" x14ac:dyDescent="0.25">
      <c r="B187" s="54">
        <v>181</v>
      </c>
      <c r="C187" s="168"/>
      <c r="D187" s="51"/>
      <c r="E187" s="29"/>
      <c r="F187" s="48"/>
      <c r="G187" s="29"/>
      <c r="H187" s="187"/>
      <c r="I187" s="187"/>
      <c r="J187" s="195"/>
      <c r="K187" s="86" t="str">
        <f t="shared" si="16"/>
        <v/>
      </c>
      <c r="L187" s="57" t="str">
        <f t="shared" si="23"/>
        <v/>
      </c>
      <c r="M187" s="186"/>
      <c r="N187" s="189"/>
      <c r="O187" s="190"/>
      <c r="P187" s="190" t="str">
        <f>IF(OR(ISBLANK(V187),COUNTBLANK(V187:$V$1048576)=ROWS(V187:$V$1048576)),"",$R$2*(1+SUM(V$7:V187)))</f>
        <v/>
      </c>
      <c r="Q187" s="191"/>
      <c r="R187" s="189"/>
      <c r="S187" s="53" t="str">
        <f t="shared" si="17"/>
        <v/>
      </c>
      <c r="T187" s="63" t="str">
        <f t="shared" si="18"/>
        <v/>
      </c>
      <c r="U187" s="64" t="str">
        <f>IF(OR(ISBLANK(Trades!R187), ISBLANK(Trades!H187), ISBLANK(Trades!I187)), "", IF(Trades!H187=Trades!I187, "N/A", (Trades!R187-Trades!H187)/(Trades!H187-Trades!I187)))</f>
        <v/>
      </c>
      <c r="V187" s="65" t="str">
        <f t="shared" si="19"/>
        <v/>
      </c>
      <c r="W187" s="66" t="str">
        <f t="shared" si="20"/>
        <v/>
      </c>
      <c r="X187" s="62" t="str">
        <f t="shared" si="21"/>
        <v/>
      </c>
      <c r="Y187" s="45"/>
      <c r="Z187" s="44"/>
      <c r="AA187" s="41"/>
      <c r="AB187" s="39"/>
      <c r="AC187" s="37" t="str">
        <f t="shared" si="22"/>
        <v/>
      </c>
    </row>
    <row r="188" spans="2:29" x14ac:dyDescent="0.25">
      <c r="B188" s="54">
        <v>182</v>
      </c>
      <c r="C188" s="168"/>
      <c r="D188" s="51"/>
      <c r="E188" s="29"/>
      <c r="F188" s="48"/>
      <c r="G188" s="29"/>
      <c r="H188" s="187"/>
      <c r="I188" s="187"/>
      <c r="J188" s="195"/>
      <c r="K188" s="86" t="str">
        <f t="shared" si="16"/>
        <v/>
      </c>
      <c r="L188" s="57" t="str">
        <f t="shared" si="23"/>
        <v/>
      </c>
      <c r="M188" s="186"/>
      <c r="N188" s="189"/>
      <c r="O188" s="190"/>
      <c r="P188" s="190" t="str">
        <f>IF(OR(ISBLANK(V188),COUNTBLANK(V188:$V$1048576)=ROWS(V188:$V$1048576)),"",$R$2*(1+SUM(V$7:V188)))</f>
        <v/>
      </c>
      <c r="Q188" s="191"/>
      <c r="R188" s="189"/>
      <c r="S188" s="53" t="str">
        <f t="shared" si="17"/>
        <v/>
      </c>
      <c r="T188" s="63" t="str">
        <f t="shared" si="18"/>
        <v/>
      </c>
      <c r="U188" s="64" t="str">
        <f>IF(OR(ISBLANK(Trades!R188), ISBLANK(Trades!H188), ISBLANK(Trades!I188)), "", IF(Trades!H188=Trades!I188, "N/A", (Trades!R188-Trades!H188)/(Trades!H188-Trades!I188)))</f>
        <v/>
      </c>
      <c r="V188" s="65" t="str">
        <f t="shared" si="19"/>
        <v/>
      </c>
      <c r="W188" s="66" t="str">
        <f t="shared" si="20"/>
        <v/>
      </c>
      <c r="X188" s="62" t="str">
        <f t="shared" si="21"/>
        <v/>
      </c>
      <c r="Y188" s="45"/>
      <c r="Z188" s="44"/>
      <c r="AA188" s="41"/>
      <c r="AB188" s="39"/>
      <c r="AC188" s="37" t="str">
        <f t="shared" si="22"/>
        <v/>
      </c>
    </row>
    <row r="189" spans="2:29" x14ac:dyDescent="0.25">
      <c r="B189" s="54">
        <v>183</v>
      </c>
      <c r="C189" s="168"/>
      <c r="D189" s="51"/>
      <c r="E189" s="29"/>
      <c r="F189" s="48"/>
      <c r="G189" s="29"/>
      <c r="H189" s="187"/>
      <c r="I189" s="187"/>
      <c r="J189" s="195"/>
      <c r="K189" s="86" t="str">
        <f t="shared" si="16"/>
        <v/>
      </c>
      <c r="L189" s="57" t="str">
        <f t="shared" si="23"/>
        <v/>
      </c>
      <c r="M189" s="186"/>
      <c r="N189" s="189"/>
      <c r="O189" s="190"/>
      <c r="P189" s="190" t="str">
        <f>IF(OR(ISBLANK(V189),COUNTBLANK(V189:$V$1048576)=ROWS(V189:$V$1048576)),"",$R$2*(1+SUM(V$7:V189)))</f>
        <v/>
      </c>
      <c r="Q189" s="191"/>
      <c r="R189" s="189"/>
      <c r="S189" s="53" t="str">
        <f t="shared" si="17"/>
        <v/>
      </c>
      <c r="T189" s="63" t="str">
        <f t="shared" si="18"/>
        <v/>
      </c>
      <c r="U189" s="64" t="str">
        <f>IF(OR(ISBLANK(Trades!R189), ISBLANK(Trades!H189), ISBLANK(Trades!I189)), "", IF(Trades!H189=Trades!I189, "N/A", (Trades!R189-Trades!H189)/(Trades!H189-Trades!I189)))</f>
        <v/>
      </c>
      <c r="V189" s="65" t="str">
        <f t="shared" si="19"/>
        <v/>
      </c>
      <c r="W189" s="66" t="str">
        <f t="shared" si="20"/>
        <v/>
      </c>
      <c r="X189" s="62" t="str">
        <f t="shared" si="21"/>
        <v/>
      </c>
      <c r="Y189" s="45"/>
      <c r="Z189" s="44"/>
      <c r="AA189" s="41"/>
      <c r="AB189" s="39"/>
      <c r="AC189" s="37" t="str">
        <f t="shared" si="22"/>
        <v/>
      </c>
    </row>
    <row r="190" spans="2:29" x14ac:dyDescent="0.25">
      <c r="B190" s="54">
        <v>184</v>
      </c>
      <c r="C190" s="168"/>
      <c r="D190" s="51"/>
      <c r="E190" s="29"/>
      <c r="F190" s="48"/>
      <c r="G190" s="29"/>
      <c r="H190" s="187"/>
      <c r="I190" s="187"/>
      <c r="J190" s="195"/>
      <c r="K190" s="86" t="str">
        <f t="shared" si="16"/>
        <v/>
      </c>
      <c r="L190" s="57" t="str">
        <f t="shared" si="23"/>
        <v/>
      </c>
      <c r="M190" s="186"/>
      <c r="N190" s="189"/>
      <c r="O190" s="190"/>
      <c r="P190" s="190" t="str">
        <f>IF(OR(ISBLANK(V190),COUNTBLANK(V190:$V$1048576)=ROWS(V190:$V$1048576)),"",$R$2*(1+SUM(V$7:V190)))</f>
        <v/>
      </c>
      <c r="Q190" s="191"/>
      <c r="R190" s="189"/>
      <c r="S190" s="53" t="str">
        <f t="shared" si="17"/>
        <v/>
      </c>
      <c r="T190" s="63" t="str">
        <f t="shared" si="18"/>
        <v/>
      </c>
      <c r="U190" s="64" t="str">
        <f>IF(OR(ISBLANK(Trades!R190), ISBLANK(Trades!H190), ISBLANK(Trades!I190)), "", IF(Trades!H190=Trades!I190, "N/A", (Trades!R190-Trades!H190)/(Trades!H190-Trades!I190)))</f>
        <v/>
      </c>
      <c r="V190" s="65" t="str">
        <f t="shared" si="19"/>
        <v/>
      </c>
      <c r="W190" s="66" t="str">
        <f t="shared" si="20"/>
        <v/>
      </c>
      <c r="X190" s="62" t="str">
        <f t="shared" si="21"/>
        <v/>
      </c>
      <c r="Y190" s="45"/>
      <c r="Z190" s="44"/>
      <c r="AA190" s="41"/>
      <c r="AB190" s="39"/>
      <c r="AC190" s="37" t="str">
        <f t="shared" si="22"/>
        <v/>
      </c>
    </row>
    <row r="191" spans="2:29" x14ac:dyDescent="0.25">
      <c r="B191" s="54">
        <v>185</v>
      </c>
      <c r="C191" s="168"/>
      <c r="D191" s="51"/>
      <c r="E191" s="29"/>
      <c r="F191" s="48"/>
      <c r="G191" s="29"/>
      <c r="H191" s="187"/>
      <c r="I191" s="187"/>
      <c r="J191" s="195"/>
      <c r="K191" s="86" t="str">
        <f t="shared" si="16"/>
        <v/>
      </c>
      <c r="L191" s="57" t="str">
        <f t="shared" si="23"/>
        <v/>
      </c>
      <c r="M191" s="186"/>
      <c r="N191" s="189"/>
      <c r="O191" s="190"/>
      <c r="P191" s="190" t="str">
        <f>IF(OR(ISBLANK(V191),COUNTBLANK(V191:$V$1048576)=ROWS(V191:$V$1048576)),"",$R$2*(1+SUM(V$7:V191)))</f>
        <v/>
      </c>
      <c r="Q191" s="191"/>
      <c r="R191" s="189"/>
      <c r="S191" s="53" t="str">
        <f t="shared" si="17"/>
        <v/>
      </c>
      <c r="T191" s="63" t="str">
        <f t="shared" si="18"/>
        <v/>
      </c>
      <c r="U191" s="64" t="str">
        <f>IF(OR(ISBLANK(Trades!R191), ISBLANK(Trades!H191), ISBLANK(Trades!I191)), "", IF(Trades!H191=Trades!I191, "N/A", (Trades!R191-Trades!H191)/(Trades!H191-Trades!I191)))</f>
        <v/>
      </c>
      <c r="V191" s="65" t="str">
        <f t="shared" si="19"/>
        <v/>
      </c>
      <c r="W191" s="66" t="str">
        <f t="shared" si="20"/>
        <v/>
      </c>
      <c r="X191" s="62" t="str">
        <f t="shared" si="21"/>
        <v/>
      </c>
      <c r="Y191" s="45"/>
      <c r="Z191" s="44"/>
      <c r="AA191" s="41"/>
      <c r="AB191" s="39"/>
      <c r="AC191" s="37" t="str">
        <f t="shared" si="22"/>
        <v/>
      </c>
    </row>
    <row r="192" spans="2:29" x14ac:dyDescent="0.25">
      <c r="B192" s="54">
        <v>186</v>
      </c>
      <c r="C192" s="168"/>
      <c r="D192" s="51"/>
      <c r="E192" s="29"/>
      <c r="F192" s="48"/>
      <c r="G192" s="29"/>
      <c r="H192" s="187"/>
      <c r="I192" s="187"/>
      <c r="J192" s="195"/>
      <c r="K192" s="86" t="str">
        <f t="shared" si="16"/>
        <v/>
      </c>
      <c r="L192" s="57" t="str">
        <f t="shared" si="23"/>
        <v/>
      </c>
      <c r="M192" s="186"/>
      <c r="N192" s="189"/>
      <c r="O192" s="190"/>
      <c r="P192" s="190" t="str">
        <f>IF(OR(ISBLANK(V192),COUNTBLANK(V192:$V$1048576)=ROWS(V192:$V$1048576)),"",$R$2*(1+SUM(V$7:V192)))</f>
        <v/>
      </c>
      <c r="Q192" s="191"/>
      <c r="R192" s="189"/>
      <c r="S192" s="53" t="str">
        <f t="shared" si="17"/>
        <v/>
      </c>
      <c r="T192" s="63" t="str">
        <f t="shared" si="18"/>
        <v/>
      </c>
      <c r="U192" s="64" t="str">
        <f>IF(OR(ISBLANK(Trades!R192), ISBLANK(Trades!H192), ISBLANK(Trades!I192)), "", IF(Trades!H192=Trades!I192, "N/A", (Trades!R192-Trades!H192)/(Trades!H192-Trades!I192)))</f>
        <v/>
      </c>
      <c r="V192" s="65" t="str">
        <f t="shared" si="19"/>
        <v/>
      </c>
      <c r="W192" s="66" t="str">
        <f t="shared" si="20"/>
        <v/>
      </c>
      <c r="X192" s="62" t="str">
        <f t="shared" si="21"/>
        <v/>
      </c>
      <c r="Y192" s="45"/>
      <c r="Z192" s="44"/>
      <c r="AA192" s="41"/>
      <c r="AB192" s="39"/>
      <c r="AC192" s="37" t="str">
        <f t="shared" si="22"/>
        <v/>
      </c>
    </row>
    <row r="193" spans="2:29" x14ac:dyDescent="0.25">
      <c r="B193" s="54">
        <v>187</v>
      </c>
      <c r="C193" s="168"/>
      <c r="D193" s="51"/>
      <c r="E193" s="29"/>
      <c r="F193" s="48"/>
      <c r="G193" s="29"/>
      <c r="H193" s="187"/>
      <c r="I193" s="187"/>
      <c r="J193" s="195"/>
      <c r="K193" s="86" t="str">
        <f t="shared" si="16"/>
        <v/>
      </c>
      <c r="L193" s="57" t="str">
        <f t="shared" si="23"/>
        <v/>
      </c>
      <c r="M193" s="186"/>
      <c r="N193" s="189"/>
      <c r="O193" s="190"/>
      <c r="P193" s="190" t="str">
        <f>IF(OR(ISBLANK(V193),COUNTBLANK(V193:$V$1048576)=ROWS(V193:$V$1048576)),"",$R$2*(1+SUM(V$7:V193)))</f>
        <v/>
      </c>
      <c r="Q193" s="191"/>
      <c r="R193" s="189"/>
      <c r="S193" s="53" t="str">
        <f t="shared" si="17"/>
        <v/>
      </c>
      <c r="T193" s="63" t="str">
        <f t="shared" si="18"/>
        <v/>
      </c>
      <c r="U193" s="64" t="str">
        <f>IF(OR(ISBLANK(Trades!R193), ISBLANK(Trades!H193), ISBLANK(Trades!I193)), "", IF(Trades!H193=Trades!I193, "N/A", (Trades!R193-Trades!H193)/(Trades!H193-Trades!I193)))</f>
        <v/>
      </c>
      <c r="V193" s="65" t="str">
        <f t="shared" si="19"/>
        <v/>
      </c>
      <c r="W193" s="66" t="str">
        <f t="shared" si="20"/>
        <v/>
      </c>
      <c r="X193" s="62" t="str">
        <f t="shared" si="21"/>
        <v/>
      </c>
      <c r="Y193" s="45"/>
      <c r="Z193" s="44"/>
      <c r="AA193" s="41"/>
      <c r="AB193" s="39"/>
      <c r="AC193" s="37" t="str">
        <f t="shared" si="22"/>
        <v/>
      </c>
    </row>
    <row r="194" spans="2:29" x14ac:dyDescent="0.25">
      <c r="B194" s="54">
        <v>188</v>
      </c>
      <c r="C194" s="168"/>
      <c r="D194" s="51"/>
      <c r="E194" s="29"/>
      <c r="F194" s="48"/>
      <c r="G194" s="29"/>
      <c r="H194" s="187"/>
      <c r="I194" s="187"/>
      <c r="J194" s="195"/>
      <c r="K194" s="86" t="str">
        <f t="shared" si="16"/>
        <v/>
      </c>
      <c r="L194" s="57" t="str">
        <f t="shared" si="23"/>
        <v/>
      </c>
      <c r="M194" s="186"/>
      <c r="N194" s="189"/>
      <c r="O194" s="190"/>
      <c r="P194" s="190" t="str">
        <f>IF(OR(ISBLANK(V194),COUNTBLANK(V194:$V$1048576)=ROWS(V194:$V$1048576)),"",$R$2*(1+SUM(V$7:V194)))</f>
        <v/>
      </c>
      <c r="Q194" s="191"/>
      <c r="R194" s="189"/>
      <c r="S194" s="53" t="str">
        <f t="shared" si="17"/>
        <v/>
      </c>
      <c r="T194" s="63" t="str">
        <f t="shared" si="18"/>
        <v/>
      </c>
      <c r="U194" s="64" t="str">
        <f>IF(OR(ISBLANK(Trades!R194), ISBLANK(Trades!H194), ISBLANK(Trades!I194)), "", IF(Trades!H194=Trades!I194, "N/A", (Trades!R194-Trades!H194)/(Trades!H194-Trades!I194)))</f>
        <v/>
      </c>
      <c r="V194" s="65" t="str">
        <f t="shared" si="19"/>
        <v/>
      </c>
      <c r="W194" s="66" t="str">
        <f t="shared" si="20"/>
        <v/>
      </c>
      <c r="X194" s="62" t="str">
        <f t="shared" si="21"/>
        <v/>
      </c>
      <c r="Y194" s="45"/>
      <c r="Z194" s="44"/>
      <c r="AA194" s="41"/>
      <c r="AB194" s="39"/>
      <c r="AC194" s="37" t="str">
        <f t="shared" si="22"/>
        <v/>
      </c>
    </row>
    <row r="195" spans="2:29" x14ac:dyDescent="0.25">
      <c r="B195" s="54">
        <v>189</v>
      </c>
      <c r="C195" s="168"/>
      <c r="D195" s="51"/>
      <c r="E195" s="29"/>
      <c r="F195" s="48"/>
      <c r="G195" s="29"/>
      <c r="H195" s="187"/>
      <c r="I195" s="187"/>
      <c r="J195" s="195"/>
      <c r="K195" s="86" t="str">
        <f t="shared" si="16"/>
        <v/>
      </c>
      <c r="L195" s="57" t="str">
        <f t="shared" si="23"/>
        <v/>
      </c>
      <c r="M195" s="186"/>
      <c r="N195" s="189"/>
      <c r="O195" s="190"/>
      <c r="P195" s="190" t="str">
        <f>IF(OR(ISBLANK(V195),COUNTBLANK(V195:$V$1048576)=ROWS(V195:$V$1048576)),"",$R$2*(1+SUM(V$7:V195)))</f>
        <v/>
      </c>
      <c r="Q195" s="191"/>
      <c r="R195" s="189"/>
      <c r="S195" s="53" t="str">
        <f t="shared" si="17"/>
        <v/>
      </c>
      <c r="T195" s="63" t="str">
        <f t="shared" si="18"/>
        <v/>
      </c>
      <c r="U195" s="64" t="str">
        <f>IF(OR(ISBLANK(Trades!R195), ISBLANK(Trades!H195), ISBLANK(Trades!I195)), "", IF(Trades!H195=Trades!I195, "N/A", (Trades!R195-Trades!H195)/(Trades!H195-Trades!I195)))</f>
        <v/>
      </c>
      <c r="V195" s="65" t="str">
        <f t="shared" si="19"/>
        <v/>
      </c>
      <c r="W195" s="66" t="str">
        <f t="shared" si="20"/>
        <v/>
      </c>
      <c r="X195" s="62" t="str">
        <f t="shared" si="21"/>
        <v/>
      </c>
      <c r="Y195" s="45"/>
      <c r="Z195" s="44"/>
      <c r="AA195" s="41"/>
      <c r="AB195" s="39"/>
      <c r="AC195" s="37" t="str">
        <f t="shared" si="22"/>
        <v/>
      </c>
    </row>
    <row r="196" spans="2:29" x14ac:dyDescent="0.25">
      <c r="B196" s="54">
        <v>190</v>
      </c>
      <c r="C196" s="168"/>
      <c r="D196" s="51"/>
      <c r="E196" s="29"/>
      <c r="F196" s="48"/>
      <c r="G196" s="29"/>
      <c r="H196" s="187"/>
      <c r="I196" s="187"/>
      <c r="J196" s="195"/>
      <c r="K196" s="86" t="str">
        <f t="shared" si="16"/>
        <v/>
      </c>
      <c r="L196" s="57" t="str">
        <f t="shared" si="23"/>
        <v/>
      </c>
      <c r="M196" s="186"/>
      <c r="N196" s="189"/>
      <c r="O196" s="190"/>
      <c r="P196" s="190" t="str">
        <f>IF(OR(ISBLANK(V196),COUNTBLANK(V196:$V$1048576)=ROWS(V196:$V$1048576)),"",$R$2*(1+SUM(V$7:V196)))</f>
        <v/>
      </c>
      <c r="Q196" s="191"/>
      <c r="R196" s="189"/>
      <c r="S196" s="53" t="str">
        <f t="shared" si="17"/>
        <v/>
      </c>
      <c r="T196" s="63" t="str">
        <f t="shared" si="18"/>
        <v/>
      </c>
      <c r="U196" s="64" t="str">
        <f>IF(OR(ISBLANK(Trades!R196), ISBLANK(Trades!H196), ISBLANK(Trades!I196)), "", IF(Trades!H196=Trades!I196, "N/A", (Trades!R196-Trades!H196)/(Trades!H196-Trades!I196)))</f>
        <v/>
      </c>
      <c r="V196" s="65" t="str">
        <f t="shared" si="19"/>
        <v/>
      </c>
      <c r="W196" s="66" t="str">
        <f t="shared" si="20"/>
        <v/>
      </c>
      <c r="X196" s="62" t="str">
        <f t="shared" si="21"/>
        <v/>
      </c>
      <c r="Y196" s="45"/>
      <c r="Z196" s="44"/>
      <c r="AA196" s="41"/>
      <c r="AB196" s="39"/>
      <c r="AC196" s="37" t="str">
        <f t="shared" si="22"/>
        <v/>
      </c>
    </row>
    <row r="197" spans="2:29" x14ac:dyDescent="0.25">
      <c r="B197" s="54">
        <v>191</v>
      </c>
      <c r="C197" s="168"/>
      <c r="D197" s="51"/>
      <c r="E197" s="29"/>
      <c r="F197" s="48"/>
      <c r="G197" s="29"/>
      <c r="H197" s="187"/>
      <c r="I197" s="187"/>
      <c r="J197" s="195"/>
      <c r="K197" s="86" t="str">
        <f t="shared" si="16"/>
        <v/>
      </c>
      <c r="L197" s="57" t="str">
        <f t="shared" si="23"/>
        <v/>
      </c>
      <c r="M197" s="186"/>
      <c r="N197" s="189"/>
      <c r="O197" s="190"/>
      <c r="P197" s="190" t="str">
        <f>IF(OR(ISBLANK(V197),COUNTBLANK(V197:$V$1048576)=ROWS(V197:$V$1048576)),"",$R$2*(1+SUM(V$7:V197)))</f>
        <v/>
      </c>
      <c r="Q197" s="191"/>
      <c r="R197" s="189"/>
      <c r="S197" s="53" t="str">
        <f t="shared" si="17"/>
        <v/>
      </c>
      <c r="T197" s="63" t="str">
        <f t="shared" si="18"/>
        <v/>
      </c>
      <c r="U197" s="64" t="str">
        <f>IF(OR(ISBLANK(Trades!R197), ISBLANK(Trades!H197), ISBLANK(Trades!I197)), "", IF(Trades!H197=Trades!I197, "N/A", (Trades!R197-Trades!H197)/(Trades!H197-Trades!I197)))</f>
        <v/>
      </c>
      <c r="V197" s="65" t="str">
        <f t="shared" si="19"/>
        <v/>
      </c>
      <c r="W197" s="66" t="str">
        <f t="shared" si="20"/>
        <v/>
      </c>
      <c r="X197" s="62" t="str">
        <f t="shared" si="21"/>
        <v/>
      </c>
      <c r="Y197" s="45"/>
      <c r="Z197" s="44"/>
      <c r="AA197" s="41"/>
      <c r="AB197" s="39"/>
      <c r="AC197" s="37" t="str">
        <f t="shared" si="22"/>
        <v/>
      </c>
    </row>
    <row r="198" spans="2:29" x14ac:dyDescent="0.25">
      <c r="B198" s="54">
        <v>192</v>
      </c>
      <c r="C198" s="168"/>
      <c r="D198" s="51"/>
      <c r="E198" s="29"/>
      <c r="F198" s="48"/>
      <c r="G198" s="29"/>
      <c r="H198" s="187"/>
      <c r="I198" s="187"/>
      <c r="J198" s="195"/>
      <c r="K198" s="86" t="str">
        <f t="shared" si="16"/>
        <v/>
      </c>
      <c r="L198" s="57" t="str">
        <f t="shared" si="23"/>
        <v/>
      </c>
      <c r="M198" s="186"/>
      <c r="N198" s="189"/>
      <c r="O198" s="190"/>
      <c r="P198" s="190" t="str">
        <f>IF(OR(ISBLANK(V198),COUNTBLANK(V198:$V$1048576)=ROWS(V198:$V$1048576)),"",$R$2*(1+SUM(V$7:V198)))</f>
        <v/>
      </c>
      <c r="Q198" s="191"/>
      <c r="R198" s="189"/>
      <c r="S198" s="53" t="str">
        <f t="shared" si="17"/>
        <v/>
      </c>
      <c r="T198" s="63" t="str">
        <f t="shared" si="18"/>
        <v/>
      </c>
      <c r="U198" s="64" t="str">
        <f>IF(OR(ISBLANK(Trades!R198), ISBLANK(Trades!H198), ISBLANK(Trades!I198)), "", IF(Trades!H198=Trades!I198, "N/A", (Trades!R198-Trades!H198)/(Trades!H198-Trades!I198)))</f>
        <v/>
      </c>
      <c r="V198" s="65" t="str">
        <f t="shared" si="19"/>
        <v/>
      </c>
      <c r="W198" s="66" t="str">
        <f t="shared" si="20"/>
        <v/>
      </c>
      <c r="X198" s="62" t="str">
        <f t="shared" si="21"/>
        <v/>
      </c>
      <c r="Y198" s="45"/>
      <c r="Z198" s="44"/>
      <c r="AA198" s="41"/>
      <c r="AB198" s="39"/>
      <c r="AC198" s="37" t="str">
        <f t="shared" si="22"/>
        <v/>
      </c>
    </row>
    <row r="199" spans="2:29" x14ac:dyDescent="0.25">
      <c r="B199" s="54">
        <v>193</v>
      </c>
      <c r="C199" s="168"/>
      <c r="D199" s="51"/>
      <c r="E199" s="29"/>
      <c r="F199" s="48"/>
      <c r="G199" s="29"/>
      <c r="H199" s="187"/>
      <c r="I199" s="187"/>
      <c r="J199" s="195"/>
      <c r="K199" s="86" t="str">
        <f t="shared" ref="K199:K262" si="24">IF(OR(ISBLANK(H199),ISBLANK(I199)),"",IF(H199 &lt; I199, "SHORT", IF(H199 &gt; I199, "LONG", "")))</f>
        <v/>
      </c>
      <c r="L199" s="57" t="str">
        <f t="shared" si="23"/>
        <v/>
      </c>
      <c r="M199" s="186"/>
      <c r="N199" s="189"/>
      <c r="O199" s="190"/>
      <c r="P199" s="190" t="str">
        <f>IF(OR(ISBLANK(V199),COUNTBLANK(V199:$V$1048576)=ROWS(V199:$V$1048576)),"",$R$2*(1+SUM(V$7:V199)))</f>
        <v/>
      </c>
      <c r="Q199" s="191"/>
      <c r="R199" s="189"/>
      <c r="S199" s="53" t="str">
        <f t="shared" ref="S199:S262" si="25">IF(COUNTIFS($C$7:$C$1000, "&lt;="&amp;C199, $X$7:$X$1000, "Win") = 0, "", IF(COUNTIFS($C$7:$C$1000, "&lt;="&amp;C199, $X$7:$X$1000, "&lt;&gt;"&amp;"") = 0, "", COUNTIFS($C$7:$C$1000, "&lt;="&amp;C199, $X$7:$X$1000, "Win")/COUNTIFS($C$7:$C$1000, "&lt;="&amp;C199, $X$7:$X$1000, "&lt;&gt;"&amp;"")))</f>
        <v/>
      </c>
      <c r="T199" s="63" t="str">
        <f t="shared" ref="T199:T262" si="26">IF(ISBLANK(R199),IF(ISBLANK(H199),"","Open"),"Closed")</f>
        <v/>
      </c>
      <c r="U199" s="64" t="str">
        <f>IF(OR(ISBLANK(Trades!R199), ISBLANK(Trades!H199), ISBLANK(Trades!I199)), "", IF(Trades!H199=Trades!I199, "N/A", (Trades!R199-Trades!H199)/(Trades!H199-Trades!I199)))</f>
        <v/>
      </c>
      <c r="V199" s="65" t="str">
        <f t="shared" ref="V199:V262" si="27">IF(U199="","",U199*F199)</f>
        <v/>
      </c>
      <c r="W199" s="66" t="str">
        <f t="shared" ref="W199:W262" si="28">IF(ISBLANK(R199),"",IF(H199&gt;I199,IF(I199&gt;=R199,"SL Hit",IF(O199&lt;&gt;"","PT3 Hit",IF(N199&lt;&gt;"","PT2 Hit",IF(M199&lt;&gt;"","PT1 Hit","")))),IF(I199&lt;=R199,"SL Hit",IF(O199&lt;&gt;"","PT3 Hit",IF(N199&lt;&gt;"","PT2 Hit",IF(M199&lt;&gt;"","PT1 Hit",""))))))</f>
        <v/>
      </c>
      <c r="X199" s="62" t="str">
        <f t="shared" ref="X199:X262" si="29">IF(ISBLANK(R199),"",IF(H199&gt;I199, IF(R199&gt;=H199, "Win", "Loss"), IF(R199&lt;=H199, "Win", "Loss")))</f>
        <v/>
      </c>
      <c r="Y199" s="45"/>
      <c r="Z199" s="44"/>
      <c r="AA199" s="41"/>
      <c r="AB199" s="39"/>
      <c r="AC199" s="37" t="str">
        <f t="shared" ref="AC199:AC262" si="30">IFERROR(COUNTIFS($C$7:$C$1000,"&gt;="&amp;DATE(YEAR(C199),MONTH(C199),1),$C$7:$C$1000,"&lt;="&amp;EOMONTH(C199,0),$X$7:$X$1000,"Win")/COUNTIFS($C$7:$C$1000,"&gt;="&amp;DATE(YEAR(C199),MONTH(C199),1),$C$7:$C$1000,"&lt;="&amp;EOMONTH(C199,0)),"")</f>
        <v/>
      </c>
    </row>
    <row r="200" spans="2:29" x14ac:dyDescent="0.25">
      <c r="B200" s="54">
        <v>194</v>
      </c>
      <c r="C200" s="168"/>
      <c r="D200" s="51"/>
      <c r="E200" s="29"/>
      <c r="F200" s="48"/>
      <c r="G200" s="29"/>
      <c r="H200" s="187"/>
      <c r="I200" s="187"/>
      <c r="J200" s="195"/>
      <c r="K200" s="86" t="str">
        <f t="shared" si="24"/>
        <v/>
      </c>
      <c r="L200" s="57" t="str">
        <f t="shared" si="23"/>
        <v/>
      </c>
      <c r="M200" s="186"/>
      <c r="N200" s="189"/>
      <c r="O200" s="190"/>
      <c r="P200" s="190" t="str">
        <f>IF(OR(ISBLANK(V200),COUNTBLANK(V200:$V$1048576)=ROWS(V200:$V$1048576)),"",$R$2*(1+SUM(V$7:V200)))</f>
        <v/>
      </c>
      <c r="Q200" s="191"/>
      <c r="R200" s="189"/>
      <c r="S200" s="53" t="str">
        <f t="shared" si="25"/>
        <v/>
      </c>
      <c r="T200" s="63" t="str">
        <f t="shared" si="26"/>
        <v/>
      </c>
      <c r="U200" s="64" t="str">
        <f>IF(OR(ISBLANK(Trades!R200), ISBLANK(Trades!H200), ISBLANK(Trades!I200)), "", IF(Trades!H200=Trades!I200, "N/A", (Trades!R200-Trades!H200)/(Trades!H200-Trades!I200)))</f>
        <v/>
      </c>
      <c r="V200" s="65" t="str">
        <f t="shared" si="27"/>
        <v/>
      </c>
      <c r="W200" s="66" t="str">
        <f t="shared" si="28"/>
        <v/>
      </c>
      <c r="X200" s="62" t="str">
        <f t="shared" si="29"/>
        <v/>
      </c>
      <c r="Y200" s="45"/>
      <c r="Z200" s="44"/>
      <c r="AA200" s="41"/>
      <c r="AB200" s="39"/>
      <c r="AC200" s="37" t="str">
        <f t="shared" si="30"/>
        <v/>
      </c>
    </row>
    <row r="201" spans="2:29" x14ac:dyDescent="0.25">
      <c r="B201" s="54">
        <v>195</v>
      </c>
      <c r="C201" s="168"/>
      <c r="D201" s="51"/>
      <c r="E201" s="29"/>
      <c r="F201" s="48"/>
      <c r="G201" s="29"/>
      <c r="H201" s="187"/>
      <c r="I201" s="187"/>
      <c r="J201" s="195"/>
      <c r="K201" s="86" t="str">
        <f t="shared" si="24"/>
        <v/>
      </c>
      <c r="L201" s="57" t="str">
        <f t="shared" si="23"/>
        <v/>
      </c>
      <c r="M201" s="186"/>
      <c r="N201" s="189"/>
      <c r="O201" s="190"/>
      <c r="P201" s="190" t="str">
        <f>IF(OR(ISBLANK(V201),COUNTBLANK(V201:$V$1048576)=ROWS(V201:$V$1048576)),"",$R$2*(1+SUM(V$7:V201)))</f>
        <v/>
      </c>
      <c r="Q201" s="191"/>
      <c r="R201" s="189"/>
      <c r="S201" s="53" t="str">
        <f t="shared" si="25"/>
        <v/>
      </c>
      <c r="T201" s="63" t="str">
        <f t="shared" si="26"/>
        <v/>
      </c>
      <c r="U201" s="64" t="str">
        <f>IF(OR(ISBLANK(Trades!R201), ISBLANK(Trades!H201), ISBLANK(Trades!I201)), "", IF(Trades!H201=Trades!I201, "N/A", (Trades!R201-Trades!H201)/(Trades!H201-Trades!I201)))</f>
        <v/>
      </c>
      <c r="V201" s="65" t="str">
        <f t="shared" si="27"/>
        <v/>
      </c>
      <c r="W201" s="66" t="str">
        <f t="shared" si="28"/>
        <v/>
      </c>
      <c r="X201" s="62" t="str">
        <f t="shared" si="29"/>
        <v/>
      </c>
      <c r="Y201" s="45"/>
      <c r="Z201" s="44"/>
      <c r="AA201" s="41"/>
      <c r="AB201" s="39"/>
      <c r="AC201" s="37" t="str">
        <f t="shared" si="30"/>
        <v/>
      </c>
    </row>
    <row r="202" spans="2:29" x14ac:dyDescent="0.25">
      <c r="B202" s="54">
        <v>196</v>
      </c>
      <c r="C202" s="168"/>
      <c r="D202" s="51"/>
      <c r="E202" s="29"/>
      <c r="F202" s="48"/>
      <c r="G202" s="29"/>
      <c r="H202" s="187"/>
      <c r="I202" s="187"/>
      <c r="J202" s="195"/>
      <c r="K202" s="86" t="str">
        <f t="shared" si="24"/>
        <v/>
      </c>
      <c r="L202" s="57" t="str">
        <f t="shared" si="23"/>
        <v/>
      </c>
      <c r="M202" s="186"/>
      <c r="N202" s="189"/>
      <c r="O202" s="190"/>
      <c r="P202" s="190" t="str">
        <f>IF(OR(ISBLANK(V202),COUNTBLANK(V202:$V$1048576)=ROWS(V202:$V$1048576)),"",$R$2*(1+SUM(V$7:V202)))</f>
        <v/>
      </c>
      <c r="Q202" s="191"/>
      <c r="R202" s="189"/>
      <c r="S202" s="53" t="str">
        <f t="shared" si="25"/>
        <v/>
      </c>
      <c r="T202" s="63" t="str">
        <f t="shared" si="26"/>
        <v/>
      </c>
      <c r="U202" s="64" t="str">
        <f>IF(OR(ISBLANK(Trades!R202), ISBLANK(Trades!H202), ISBLANK(Trades!I202)), "", IF(Trades!H202=Trades!I202, "N/A", (Trades!R202-Trades!H202)/(Trades!H202-Trades!I202)))</f>
        <v/>
      </c>
      <c r="V202" s="65" t="str">
        <f t="shared" si="27"/>
        <v/>
      </c>
      <c r="W202" s="66" t="str">
        <f t="shared" si="28"/>
        <v/>
      </c>
      <c r="X202" s="62" t="str">
        <f t="shared" si="29"/>
        <v/>
      </c>
      <c r="Y202" s="45"/>
      <c r="Z202" s="44"/>
      <c r="AA202" s="41"/>
      <c r="AB202" s="39"/>
      <c r="AC202" s="37" t="str">
        <f t="shared" si="30"/>
        <v/>
      </c>
    </row>
    <row r="203" spans="2:29" x14ac:dyDescent="0.25">
      <c r="B203" s="54">
        <v>197</v>
      </c>
      <c r="C203" s="168"/>
      <c r="D203" s="51"/>
      <c r="E203" s="29"/>
      <c r="F203" s="48"/>
      <c r="G203" s="29"/>
      <c r="H203" s="187"/>
      <c r="I203" s="187"/>
      <c r="J203" s="195"/>
      <c r="K203" s="86" t="str">
        <f t="shared" si="24"/>
        <v/>
      </c>
      <c r="L203" s="57" t="str">
        <f t="shared" si="23"/>
        <v/>
      </c>
      <c r="M203" s="186"/>
      <c r="N203" s="189"/>
      <c r="O203" s="190"/>
      <c r="P203" s="190" t="str">
        <f>IF(OR(ISBLANK(V203),COUNTBLANK(V203:$V$1048576)=ROWS(V203:$V$1048576)),"",$R$2*(1+SUM(V$7:V203)))</f>
        <v/>
      </c>
      <c r="Q203" s="191"/>
      <c r="R203" s="189"/>
      <c r="S203" s="53" t="str">
        <f t="shared" si="25"/>
        <v/>
      </c>
      <c r="T203" s="63" t="str">
        <f t="shared" si="26"/>
        <v/>
      </c>
      <c r="U203" s="64" t="str">
        <f>IF(OR(ISBLANK(Trades!R203), ISBLANK(Trades!H203), ISBLANK(Trades!I203)), "", IF(Trades!H203=Trades!I203, "N/A", (Trades!R203-Trades!H203)/(Trades!H203-Trades!I203)))</f>
        <v/>
      </c>
      <c r="V203" s="65" t="str">
        <f t="shared" si="27"/>
        <v/>
      </c>
      <c r="W203" s="66" t="str">
        <f t="shared" si="28"/>
        <v/>
      </c>
      <c r="X203" s="62" t="str">
        <f t="shared" si="29"/>
        <v/>
      </c>
      <c r="Y203" s="45"/>
      <c r="Z203" s="44"/>
      <c r="AA203" s="41"/>
      <c r="AB203" s="39"/>
      <c r="AC203" s="37" t="str">
        <f t="shared" si="30"/>
        <v/>
      </c>
    </row>
    <row r="204" spans="2:29" x14ac:dyDescent="0.25">
      <c r="B204" s="54">
        <v>198</v>
      </c>
      <c r="C204" s="168"/>
      <c r="D204" s="51"/>
      <c r="E204" s="29"/>
      <c r="F204" s="48"/>
      <c r="G204" s="29"/>
      <c r="H204" s="187"/>
      <c r="I204" s="187"/>
      <c r="J204" s="195"/>
      <c r="K204" s="86" t="str">
        <f t="shared" si="24"/>
        <v/>
      </c>
      <c r="L204" s="57" t="str">
        <f t="shared" ref="L204:L267" si="31">IF(OR(ISBLANK(J204),ISBLANK(H204),ISBLANK(I204)),"",ABS(J204-H204)/ABS(H204-I204))</f>
        <v/>
      </c>
      <c r="M204" s="186"/>
      <c r="N204" s="189"/>
      <c r="O204" s="190"/>
      <c r="P204" s="190" t="str">
        <f>IF(OR(ISBLANK(V204),COUNTBLANK(V204:$V$1048576)=ROWS(V204:$V$1048576)),"",$R$2*(1+SUM(V$7:V204)))</f>
        <v/>
      </c>
      <c r="Q204" s="191"/>
      <c r="R204" s="189"/>
      <c r="S204" s="53" t="str">
        <f t="shared" si="25"/>
        <v/>
      </c>
      <c r="T204" s="63" t="str">
        <f t="shared" si="26"/>
        <v/>
      </c>
      <c r="U204" s="64" t="str">
        <f>IF(OR(ISBLANK(Trades!R204), ISBLANK(Trades!H204), ISBLANK(Trades!I204)), "", IF(Trades!H204=Trades!I204, "N/A", (Trades!R204-Trades!H204)/(Trades!H204-Trades!I204)))</f>
        <v/>
      </c>
      <c r="V204" s="65" t="str">
        <f t="shared" si="27"/>
        <v/>
      </c>
      <c r="W204" s="66" t="str">
        <f t="shared" si="28"/>
        <v/>
      </c>
      <c r="X204" s="62" t="str">
        <f t="shared" si="29"/>
        <v/>
      </c>
      <c r="Y204" s="45"/>
      <c r="Z204" s="44"/>
      <c r="AA204" s="41"/>
      <c r="AB204" s="39"/>
      <c r="AC204" s="37" t="str">
        <f t="shared" si="30"/>
        <v/>
      </c>
    </row>
    <row r="205" spans="2:29" x14ac:dyDescent="0.25">
      <c r="B205" s="54">
        <v>199</v>
      </c>
      <c r="C205" s="168"/>
      <c r="D205" s="51"/>
      <c r="E205" s="29"/>
      <c r="F205" s="48"/>
      <c r="G205" s="29"/>
      <c r="H205" s="187"/>
      <c r="I205" s="187"/>
      <c r="J205" s="195"/>
      <c r="K205" s="86" t="str">
        <f t="shared" si="24"/>
        <v/>
      </c>
      <c r="L205" s="57" t="str">
        <f t="shared" si="31"/>
        <v/>
      </c>
      <c r="M205" s="186"/>
      <c r="N205" s="189"/>
      <c r="O205" s="190"/>
      <c r="P205" s="190" t="str">
        <f>IF(OR(ISBLANK(V205),COUNTBLANK(V205:$V$1048576)=ROWS(V205:$V$1048576)),"",$R$2*(1+SUM(V$7:V205)))</f>
        <v/>
      </c>
      <c r="Q205" s="191"/>
      <c r="R205" s="189"/>
      <c r="S205" s="53" t="str">
        <f t="shared" si="25"/>
        <v/>
      </c>
      <c r="T205" s="63" t="str">
        <f t="shared" si="26"/>
        <v/>
      </c>
      <c r="U205" s="64" t="str">
        <f>IF(OR(ISBLANK(Trades!R205), ISBLANK(Trades!H205), ISBLANK(Trades!I205)), "", IF(Trades!H205=Trades!I205, "N/A", (Trades!R205-Trades!H205)/(Trades!H205-Trades!I205)))</f>
        <v/>
      </c>
      <c r="V205" s="65" t="str">
        <f t="shared" si="27"/>
        <v/>
      </c>
      <c r="W205" s="66" t="str">
        <f t="shared" si="28"/>
        <v/>
      </c>
      <c r="X205" s="62" t="str">
        <f t="shared" si="29"/>
        <v/>
      </c>
      <c r="Y205" s="45"/>
      <c r="Z205" s="44"/>
      <c r="AA205" s="41"/>
      <c r="AB205" s="39"/>
      <c r="AC205" s="37" t="str">
        <f t="shared" si="30"/>
        <v/>
      </c>
    </row>
    <row r="206" spans="2:29" x14ac:dyDescent="0.25">
      <c r="B206" s="54">
        <v>200</v>
      </c>
      <c r="C206" s="168"/>
      <c r="D206" s="51"/>
      <c r="E206" s="29"/>
      <c r="F206" s="48"/>
      <c r="G206" s="29"/>
      <c r="H206" s="187"/>
      <c r="I206" s="187"/>
      <c r="J206" s="195"/>
      <c r="K206" s="86" t="str">
        <f t="shared" si="24"/>
        <v/>
      </c>
      <c r="L206" s="57" t="str">
        <f t="shared" si="31"/>
        <v/>
      </c>
      <c r="M206" s="186"/>
      <c r="N206" s="189"/>
      <c r="O206" s="190"/>
      <c r="P206" s="190" t="str">
        <f>IF(OR(ISBLANK(V206),COUNTBLANK(V206:$V$1048576)=ROWS(V206:$V$1048576)),"",$R$2*(1+SUM(V$7:V206)))</f>
        <v/>
      </c>
      <c r="Q206" s="191"/>
      <c r="R206" s="189"/>
      <c r="S206" s="53" t="str">
        <f t="shared" si="25"/>
        <v/>
      </c>
      <c r="T206" s="63" t="str">
        <f t="shared" si="26"/>
        <v/>
      </c>
      <c r="U206" s="64" t="str">
        <f>IF(OR(ISBLANK(Trades!R206), ISBLANK(Trades!H206), ISBLANK(Trades!I206)), "", IF(Trades!H206=Trades!I206, "N/A", (Trades!R206-Trades!H206)/(Trades!H206-Trades!I206)))</f>
        <v/>
      </c>
      <c r="V206" s="65" t="str">
        <f t="shared" si="27"/>
        <v/>
      </c>
      <c r="W206" s="66" t="str">
        <f t="shared" si="28"/>
        <v/>
      </c>
      <c r="X206" s="62" t="str">
        <f t="shared" si="29"/>
        <v/>
      </c>
      <c r="Y206" s="45"/>
      <c r="Z206" s="44"/>
      <c r="AA206" s="41"/>
      <c r="AB206" s="39"/>
      <c r="AC206" s="37" t="str">
        <f t="shared" si="30"/>
        <v/>
      </c>
    </row>
    <row r="207" spans="2:29" x14ac:dyDescent="0.25">
      <c r="B207" s="54">
        <v>201</v>
      </c>
      <c r="C207" s="168"/>
      <c r="D207" s="51"/>
      <c r="E207" s="29"/>
      <c r="F207" s="48"/>
      <c r="G207" s="29"/>
      <c r="H207" s="187"/>
      <c r="I207" s="187"/>
      <c r="J207" s="195"/>
      <c r="K207" s="86" t="str">
        <f t="shared" si="24"/>
        <v/>
      </c>
      <c r="L207" s="57" t="str">
        <f t="shared" si="31"/>
        <v/>
      </c>
      <c r="M207" s="186"/>
      <c r="N207" s="189"/>
      <c r="O207" s="190"/>
      <c r="P207" s="190" t="str">
        <f>IF(OR(ISBLANK(V207),COUNTBLANK(V207:$V$1048576)=ROWS(V207:$V$1048576)),"",$R$2*(1+SUM(V$7:V207)))</f>
        <v/>
      </c>
      <c r="Q207" s="191"/>
      <c r="R207" s="189"/>
      <c r="S207" s="53" t="str">
        <f t="shared" si="25"/>
        <v/>
      </c>
      <c r="T207" s="63" t="str">
        <f t="shared" si="26"/>
        <v/>
      </c>
      <c r="U207" s="64" t="str">
        <f>IF(OR(ISBLANK(Trades!R207), ISBLANK(Trades!H207), ISBLANK(Trades!I207)), "", IF(Trades!H207=Trades!I207, "N/A", (Trades!R207-Trades!H207)/(Trades!H207-Trades!I207)))</f>
        <v/>
      </c>
      <c r="V207" s="65" t="str">
        <f t="shared" si="27"/>
        <v/>
      </c>
      <c r="W207" s="66" t="str">
        <f t="shared" si="28"/>
        <v/>
      </c>
      <c r="X207" s="62" t="str">
        <f t="shared" si="29"/>
        <v/>
      </c>
      <c r="Y207" s="45"/>
      <c r="Z207" s="44"/>
      <c r="AA207" s="41"/>
      <c r="AB207" s="39"/>
      <c r="AC207" s="37" t="str">
        <f t="shared" si="30"/>
        <v/>
      </c>
    </row>
    <row r="208" spans="2:29" x14ac:dyDescent="0.25">
      <c r="B208" s="54">
        <v>202</v>
      </c>
      <c r="C208" s="168"/>
      <c r="D208" s="51"/>
      <c r="E208" s="29"/>
      <c r="F208" s="48"/>
      <c r="G208" s="29"/>
      <c r="H208" s="187"/>
      <c r="I208" s="187"/>
      <c r="J208" s="195"/>
      <c r="K208" s="86" t="str">
        <f t="shared" si="24"/>
        <v/>
      </c>
      <c r="L208" s="57" t="str">
        <f t="shared" si="31"/>
        <v/>
      </c>
      <c r="M208" s="186"/>
      <c r="N208" s="189"/>
      <c r="O208" s="190"/>
      <c r="P208" s="190" t="str">
        <f>IF(OR(ISBLANK(V208),COUNTBLANK(V208:$V$1048576)=ROWS(V208:$V$1048576)),"",$R$2*(1+SUM(V$7:V208)))</f>
        <v/>
      </c>
      <c r="Q208" s="191"/>
      <c r="R208" s="189"/>
      <c r="S208" s="53" t="str">
        <f t="shared" si="25"/>
        <v/>
      </c>
      <c r="T208" s="63" t="str">
        <f t="shared" si="26"/>
        <v/>
      </c>
      <c r="U208" s="64" t="str">
        <f>IF(OR(ISBLANK(Trades!R208), ISBLANK(Trades!H208), ISBLANK(Trades!I208)), "", IF(Trades!H208=Trades!I208, "N/A", (Trades!R208-Trades!H208)/(Trades!H208-Trades!I208)))</f>
        <v/>
      </c>
      <c r="V208" s="65" t="str">
        <f t="shared" si="27"/>
        <v/>
      </c>
      <c r="W208" s="66" t="str">
        <f t="shared" si="28"/>
        <v/>
      </c>
      <c r="X208" s="62" t="str">
        <f t="shared" si="29"/>
        <v/>
      </c>
      <c r="Y208" s="45"/>
      <c r="Z208" s="44"/>
      <c r="AA208" s="41"/>
      <c r="AB208" s="39"/>
      <c r="AC208" s="37" t="str">
        <f t="shared" si="30"/>
        <v/>
      </c>
    </row>
    <row r="209" spans="2:29" x14ac:dyDescent="0.25">
      <c r="B209" s="54">
        <v>203</v>
      </c>
      <c r="C209" s="168"/>
      <c r="D209" s="51"/>
      <c r="E209" s="29"/>
      <c r="F209" s="48"/>
      <c r="G209" s="29"/>
      <c r="H209" s="187"/>
      <c r="I209" s="187"/>
      <c r="J209" s="195"/>
      <c r="K209" s="86" t="str">
        <f t="shared" si="24"/>
        <v/>
      </c>
      <c r="L209" s="57" t="str">
        <f t="shared" si="31"/>
        <v/>
      </c>
      <c r="M209" s="186"/>
      <c r="N209" s="189"/>
      <c r="O209" s="190"/>
      <c r="P209" s="190" t="str">
        <f>IF(OR(ISBLANK(V209),COUNTBLANK(V209:$V$1048576)=ROWS(V209:$V$1048576)),"",$R$2*(1+SUM(V$7:V209)))</f>
        <v/>
      </c>
      <c r="Q209" s="191"/>
      <c r="R209" s="189"/>
      <c r="S209" s="53" t="str">
        <f t="shared" si="25"/>
        <v/>
      </c>
      <c r="T209" s="63" t="str">
        <f t="shared" si="26"/>
        <v/>
      </c>
      <c r="U209" s="64" t="str">
        <f>IF(OR(ISBLANK(Trades!R209), ISBLANK(Trades!H209), ISBLANK(Trades!I209)), "", IF(Trades!H209=Trades!I209, "N/A", (Trades!R209-Trades!H209)/(Trades!H209-Trades!I209)))</f>
        <v/>
      </c>
      <c r="V209" s="65" t="str">
        <f t="shared" si="27"/>
        <v/>
      </c>
      <c r="W209" s="66" t="str">
        <f t="shared" si="28"/>
        <v/>
      </c>
      <c r="X209" s="62" t="str">
        <f t="shared" si="29"/>
        <v/>
      </c>
      <c r="Y209" s="45"/>
      <c r="Z209" s="44"/>
      <c r="AA209" s="41"/>
      <c r="AB209" s="39"/>
      <c r="AC209" s="37" t="str">
        <f t="shared" si="30"/>
        <v/>
      </c>
    </row>
    <row r="210" spans="2:29" x14ac:dyDescent="0.25">
      <c r="B210" s="54">
        <v>204</v>
      </c>
      <c r="C210" s="168"/>
      <c r="D210" s="51"/>
      <c r="E210" s="29"/>
      <c r="F210" s="48"/>
      <c r="G210" s="29"/>
      <c r="H210" s="187"/>
      <c r="I210" s="187"/>
      <c r="J210" s="195"/>
      <c r="K210" s="86" t="str">
        <f t="shared" si="24"/>
        <v/>
      </c>
      <c r="L210" s="57" t="str">
        <f t="shared" si="31"/>
        <v/>
      </c>
      <c r="M210" s="186"/>
      <c r="N210" s="189"/>
      <c r="O210" s="190"/>
      <c r="P210" s="190" t="str">
        <f>IF(OR(ISBLANK(V210),COUNTBLANK(V210:$V$1048576)=ROWS(V210:$V$1048576)),"",$R$2*(1+SUM(V$7:V210)))</f>
        <v/>
      </c>
      <c r="Q210" s="191"/>
      <c r="R210" s="189"/>
      <c r="S210" s="53" t="str">
        <f t="shared" si="25"/>
        <v/>
      </c>
      <c r="T210" s="63" t="str">
        <f t="shared" si="26"/>
        <v/>
      </c>
      <c r="U210" s="64" t="str">
        <f>IF(OR(ISBLANK(Trades!R210), ISBLANK(Trades!H210), ISBLANK(Trades!I210)), "", IF(Trades!H210=Trades!I210, "N/A", (Trades!R210-Trades!H210)/(Trades!H210-Trades!I210)))</f>
        <v/>
      </c>
      <c r="V210" s="65" t="str">
        <f t="shared" si="27"/>
        <v/>
      </c>
      <c r="W210" s="66" t="str">
        <f t="shared" si="28"/>
        <v/>
      </c>
      <c r="X210" s="62" t="str">
        <f t="shared" si="29"/>
        <v/>
      </c>
      <c r="Y210" s="45"/>
      <c r="Z210" s="44"/>
      <c r="AA210" s="41"/>
      <c r="AB210" s="39"/>
      <c r="AC210" s="37" t="str">
        <f t="shared" si="30"/>
        <v/>
      </c>
    </row>
    <row r="211" spans="2:29" x14ac:dyDescent="0.25">
      <c r="B211" s="54">
        <v>205</v>
      </c>
      <c r="C211" s="168"/>
      <c r="D211" s="51"/>
      <c r="E211" s="29"/>
      <c r="F211" s="48"/>
      <c r="G211" s="29"/>
      <c r="H211" s="187"/>
      <c r="I211" s="187"/>
      <c r="J211" s="195"/>
      <c r="K211" s="86" t="str">
        <f t="shared" si="24"/>
        <v/>
      </c>
      <c r="L211" s="57" t="str">
        <f t="shared" si="31"/>
        <v/>
      </c>
      <c r="M211" s="186"/>
      <c r="N211" s="189"/>
      <c r="O211" s="190"/>
      <c r="P211" s="190" t="str">
        <f>IF(OR(ISBLANK(V211),COUNTBLANK(V211:$V$1048576)=ROWS(V211:$V$1048576)),"",$R$2*(1+SUM(V$7:V211)))</f>
        <v/>
      </c>
      <c r="Q211" s="191"/>
      <c r="R211" s="189"/>
      <c r="S211" s="53" t="str">
        <f t="shared" si="25"/>
        <v/>
      </c>
      <c r="T211" s="63" t="str">
        <f t="shared" si="26"/>
        <v/>
      </c>
      <c r="U211" s="64" t="str">
        <f>IF(OR(ISBLANK(Trades!R211), ISBLANK(Trades!H211), ISBLANK(Trades!I211)), "", IF(Trades!H211=Trades!I211, "N/A", (Trades!R211-Trades!H211)/(Trades!H211-Trades!I211)))</f>
        <v/>
      </c>
      <c r="V211" s="65" t="str">
        <f t="shared" si="27"/>
        <v/>
      </c>
      <c r="W211" s="66" t="str">
        <f t="shared" si="28"/>
        <v/>
      </c>
      <c r="X211" s="62" t="str">
        <f t="shared" si="29"/>
        <v/>
      </c>
      <c r="Y211" s="45"/>
      <c r="Z211" s="44"/>
      <c r="AA211" s="41"/>
      <c r="AB211" s="39"/>
      <c r="AC211" s="37" t="str">
        <f t="shared" si="30"/>
        <v/>
      </c>
    </row>
    <row r="212" spans="2:29" x14ac:dyDescent="0.25">
      <c r="B212" s="54">
        <v>206</v>
      </c>
      <c r="C212" s="168"/>
      <c r="D212" s="51"/>
      <c r="E212" s="29"/>
      <c r="F212" s="48"/>
      <c r="G212" s="29"/>
      <c r="H212" s="187"/>
      <c r="I212" s="187"/>
      <c r="J212" s="195"/>
      <c r="K212" s="86" t="str">
        <f t="shared" si="24"/>
        <v/>
      </c>
      <c r="L212" s="57" t="str">
        <f t="shared" si="31"/>
        <v/>
      </c>
      <c r="M212" s="186"/>
      <c r="N212" s="189"/>
      <c r="O212" s="190"/>
      <c r="P212" s="190" t="str">
        <f>IF(OR(ISBLANK(V212),COUNTBLANK(V212:$V$1048576)=ROWS(V212:$V$1048576)),"",$R$2*(1+SUM(V$7:V212)))</f>
        <v/>
      </c>
      <c r="Q212" s="191"/>
      <c r="R212" s="189"/>
      <c r="S212" s="53" t="str">
        <f t="shared" si="25"/>
        <v/>
      </c>
      <c r="T212" s="63" t="str">
        <f t="shared" si="26"/>
        <v/>
      </c>
      <c r="U212" s="64" t="str">
        <f>IF(OR(ISBLANK(Trades!R212), ISBLANK(Trades!H212), ISBLANK(Trades!I212)), "", IF(Trades!H212=Trades!I212, "N/A", (Trades!R212-Trades!H212)/(Trades!H212-Trades!I212)))</f>
        <v/>
      </c>
      <c r="V212" s="65" t="str">
        <f t="shared" si="27"/>
        <v/>
      </c>
      <c r="W212" s="66" t="str">
        <f t="shared" si="28"/>
        <v/>
      </c>
      <c r="X212" s="62" t="str">
        <f t="shared" si="29"/>
        <v/>
      </c>
      <c r="Y212" s="45"/>
      <c r="Z212" s="44"/>
      <c r="AA212" s="41"/>
      <c r="AB212" s="39"/>
      <c r="AC212" s="37" t="str">
        <f t="shared" si="30"/>
        <v/>
      </c>
    </row>
    <row r="213" spans="2:29" x14ac:dyDescent="0.25">
      <c r="B213" s="54">
        <v>207</v>
      </c>
      <c r="C213" s="168"/>
      <c r="D213" s="51"/>
      <c r="E213" s="29"/>
      <c r="F213" s="48"/>
      <c r="G213" s="29"/>
      <c r="H213" s="187"/>
      <c r="I213" s="187"/>
      <c r="J213" s="195"/>
      <c r="K213" s="86" t="str">
        <f t="shared" si="24"/>
        <v/>
      </c>
      <c r="L213" s="57" t="str">
        <f t="shared" si="31"/>
        <v/>
      </c>
      <c r="M213" s="186"/>
      <c r="N213" s="189"/>
      <c r="O213" s="190"/>
      <c r="P213" s="190" t="str">
        <f>IF(OR(ISBLANK(V213),COUNTBLANK(V213:$V$1048576)=ROWS(V213:$V$1048576)),"",$R$2*(1+SUM(V$7:V213)))</f>
        <v/>
      </c>
      <c r="Q213" s="191"/>
      <c r="R213" s="189"/>
      <c r="S213" s="53" t="str">
        <f t="shared" si="25"/>
        <v/>
      </c>
      <c r="T213" s="63" t="str">
        <f t="shared" si="26"/>
        <v/>
      </c>
      <c r="U213" s="64" t="str">
        <f>IF(OR(ISBLANK(Trades!R213), ISBLANK(Trades!H213), ISBLANK(Trades!I213)), "", IF(Trades!H213=Trades!I213, "N/A", (Trades!R213-Trades!H213)/(Trades!H213-Trades!I213)))</f>
        <v/>
      </c>
      <c r="V213" s="65" t="str">
        <f t="shared" si="27"/>
        <v/>
      </c>
      <c r="W213" s="66" t="str">
        <f t="shared" si="28"/>
        <v/>
      </c>
      <c r="X213" s="62" t="str">
        <f t="shared" si="29"/>
        <v/>
      </c>
      <c r="Y213" s="45"/>
      <c r="Z213" s="44"/>
      <c r="AA213" s="41"/>
      <c r="AB213" s="39"/>
      <c r="AC213" s="37" t="str">
        <f t="shared" si="30"/>
        <v/>
      </c>
    </row>
    <row r="214" spans="2:29" x14ac:dyDescent="0.25">
      <c r="B214" s="54">
        <v>208</v>
      </c>
      <c r="C214" s="168"/>
      <c r="D214" s="51"/>
      <c r="E214" s="29"/>
      <c r="F214" s="48"/>
      <c r="G214" s="29"/>
      <c r="H214" s="187"/>
      <c r="I214" s="187"/>
      <c r="J214" s="195"/>
      <c r="K214" s="86" t="str">
        <f t="shared" si="24"/>
        <v/>
      </c>
      <c r="L214" s="57" t="str">
        <f t="shared" si="31"/>
        <v/>
      </c>
      <c r="M214" s="186"/>
      <c r="N214" s="189"/>
      <c r="O214" s="190"/>
      <c r="P214" s="190" t="str">
        <f>IF(OR(ISBLANK(V214),COUNTBLANK(V214:$V$1048576)=ROWS(V214:$V$1048576)),"",$R$2*(1+SUM(V$7:V214)))</f>
        <v/>
      </c>
      <c r="Q214" s="191"/>
      <c r="R214" s="189"/>
      <c r="S214" s="53" t="str">
        <f t="shared" si="25"/>
        <v/>
      </c>
      <c r="T214" s="63" t="str">
        <f t="shared" si="26"/>
        <v/>
      </c>
      <c r="U214" s="64" t="str">
        <f>IF(OR(ISBLANK(Trades!R214), ISBLANK(Trades!H214), ISBLANK(Trades!I214)), "", IF(Trades!H214=Trades!I214, "N/A", (Trades!R214-Trades!H214)/(Trades!H214-Trades!I214)))</f>
        <v/>
      </c>
      <c r="V214" s="65" t="str">
        <f t="shared" si="27"/>
        <v/>
      </c>
      <c r="W214" s="66" t="str">
        <f t="shared" si="28"/>
        <v/>
      </c>
      <c r="X214" s="62" t="str">
        <f t="shared" si="29"/>
        <v/>
      </c>
      <c r="Y214" s="45"/>
      <c r="Z214" s="44"/>
      <c r="AA214" s="41"/>
      <c r="AB214" s="39"/>
      <c r="AC214" s="37" t="str">
        <f t="shared" si="30"/>
        <v/>
      </c>
    </row>
    <row r="215" spans="2:29" x14ac:dyDescent="0.25">
      <c r="B215" s="54">
        <v>209</v>
      </c>
      <c r="C215" s="168"/>
      <c r="D215" s="51"/>
      <c r="E215" s="29"/>
      <c r="F215" s="48"/>
      <c r="G215" s="29"/>
      <c r="H215" s="187"/>
      <c r="I215" s="187"/>
      <c r="J215" s="195"/>
      <c r="K215" s="86" t="str">
        <f t="shared" si="24"/>
        <v/>
      </c>
      <c r="L215" s="57" t="str">
        <f t="shared" si="31"/>
        <v/>
      </c>
      <c r="M215" s="186"/>
      <c r="N215" s="189"/>
      <c r="O215" s="190"/>
      <c r="P215" s="190" t="str">
        <f>IF(OR(ISBLANK(V215),COUNTBLANK(V215:$V$1048576)=ROWS(V215:$V$1048576)),"",$R$2*(1+SUM(V$7:V215)))</f>
        <v/>
      </c>
      <c r="Q215" s="191"/>
      <c r="R215" s="189"/>
      <c r="S215" s="53" t="str">
        <f t="shared" si="25"/>
        <v/>
      </c>
      <c r="T215" s="63" t="str">
        <f t="shared" si="26"/>
        <v/>
      </c>
      <c r="U215" s="64" t="str">
        <f>IF(OR(ISBLANK(Trades!R215), ISBLANK(Trades!H215), ISBLANK(Trades!I215)), "", IF(Trades!H215=Trades!I215, "N/A", (Trades!R215-Trades!H215)/(Trades!H215-Trades!I215)))</f>
        <v/>
      </c>
      <c r="V215" s="65" t="str">
        <f t="shared" si="27"/>
        <v/>
      </c>
      <c r="W215" s="66" t="str">
        <f t="shared" si="28"/>
        <v/>
      </c>
      <c r="X215" s="62" t="str">
        <f t="shared" si="29"/>
        <v/>
      </c>
      <c r="Y215" s="45"/>
      <c r="Z215" s="44"/>
      <c r="AA215" s="41"/>
      <c r="AB215" s="39"/>
      <c r="AC215" s="37" t="str">
        <f t="shared" si="30"/>
        <v/>
      </c>
    </row>
    <row r="216" spans="2:29" x14ac:dyDescent="0.25">
      <c r="B216" s="54">
        <v>210</v>
      </c>
      <c r="C216" s="168"/>
      <c r="D216" s="51"/>
      <c r="E216" s="29"/>
      <c r="F216" s="48"/>
      <c r="G216" s="29"/>
      <c r="H216" s="187"/>
      <c r="I216" s="187"/>
      <c r="J216" s="195"/>
      <c r="K216" s="86" t="str">
        <f t="shared" si="24"/>
        <v/>
      </c>
      <c r="L216" s="57" t="str">
        <f t="shared" si="31"/>
        <v/>
      </c>
      <c r="M216" s="186"/>
      <c r="N216" s="189"/>
      <c r="O216" s="190"/>
      <c r="P216" s="190" t="str">
        <f>IF(OR(ISBLANK(V216),COUNTBLANK(V216:$V$1048576)=ROWS(V216:$V$1048576)),"",$R$2*(1+SUM(V$7:V216)))</f>
        <v/>
      </c>
      <c r="Q216" s="191"/>
      <c r="R216" s="189"/>
      <c r="S216" s="53" t="str">
        <f t="shared" si="25"/>
        <v/>
      </c>
      <c r="T216" s="63" t="str">
        <f t="shared" si="26"/>
        <v/>
      </c>
      <c r="U216" s="64" t="str">
        <f>IF(OR(ISBLANK(Trades!R216), ISBLANK(Trades!H216), ISBLANK(Trades!I216)), "", IF(Trades!H216=Trades!I216, "N/A", (Trades!R216-Trades!H216)/(Trades!H216-Trades!I216)))</f>
        <v/>
      </c>
      <c r="V216" s="65" t="str">
        <f t="shared" si="27"/>
        <v/>
      </c>
      <c r="W216" s="66" t="str">
        <f t="shared" si="28"/>
        <v/>
      </c>
      <c r="X216" s="62" t="str">
        <f t="shared" si="29"/>
        <v/>
      </c>
      <c r="Y216" s="45"/>
      <c r="Z216" s="44"/>
      <c r="AA216" s="41"/>
      <c r="AB216" s="39"/>
      <c r="AC216" s="37" t="str">
        <f t="shared" si="30"/>
        <v/>
      </c>
    </row>
    <row r="217" spans="2:29" x14ac:dyDescent="0.25">
      <c r="B217" s="54">
        <v>211</v>
      </c>
      <c r="C217" s="168"/>
      <c r="D217" s="51"/>
      <c r="E217" s="29"/>
      <c r="F217" s="48"/>
      <c r="G217" s="29"/>
      <c r="H217" s="187"/>
      <c r="I217" s="187"/>
      <c r="J217" s="195"/>
      <c r="K217" s="86" t="str">
        <f t="shared" si="24"/>
        <v/>
      </c>
      <c r="L217" s="57" t="str">
        <f t="shared" si="31"/>
        <v/>
      </c>
      <c r="M217" s="186"/>
      <c r="N217" s="189"/>
      <c r="O217" s="190"/>
      <c r="P217" s="190" t="str">
        <f>IF(OR(ISBLANK(V217),COUNTBLANK(V217:$V$1048576)=ROWS(V217:$V$1048576)),"",$R$2*(1+SUM(V$7:V217)))</f>
        <v/>
      </c>
      <c r="Q217" s="191"/>
      <c r="R217" s="189"/>
      <c r="S217" s="53" t="str">
        <f t="shared" si="25"/>
        <v/>
      </c>
      <c r="T217" s="63" t="str">
        <f t="shared" si="26"/>
        <v/>
      </c>
      <c r="U217" s="64" t="str">
        <f>IF(OR(ISBLANK(Trades!R217), ISBLANK(Trades!H217), ISBLANK(Trades!I217)), "", IF(Trades!H217=Trades!I217, "N/A", (Trades!R217-Trades!H217)/(Trades!H217-Trades!I217)))</f>
        <v/>
      </c>
      <c r="V217" s="65" t="str">
        <f t="shared" si="27"/>
        <v/>
      </c>
      <c r="W217" s="66" t="str">
        <f t="shared" si="28"/>
        <v/>
      </c>
      <c r="X217" s="62" t="str">
        <f t="shared" si="29"/>
        <v/>
      </c>
      <c r="Y217" s="45"/>
      <c r="Z217" s="44"/>
      <c r="AA217" s="41"/>
      <c r="AB217" s="39"/>
      <c r="AC217" s="37" t="str">
        <f t="shared" si="30"/>
        <v/>
      </c>
    </row>
    <row r="218" spans="2:29" x14ac:dyDescent="0.25">
      <c r="B218" s="54">
        <v>212</v>
      </c>
      <c r="C218" s="168"/>
      <c r="D218" s="51"/>
      <c r="E218" s="29"/>
      <c r="F218" s="48"/>
      <c r="G218" s="29"/>
      <c r="H218" s="187"/>
      <c r="I218" s="187"/>
      <c r="J218" s="195"/>
      <c r="K218" s="86" t="str">
        <f t="shared" si="24"/>
        <v/>
      </c>
      <c r="L218" s="57" t="str">
        <f t="shared" si="31"/>
        <v/>
      </c>
      <c r="M218" s="186"/>
      <c r="N218" s="189"/>
      <c r="O218" s="190"/>
      <c r="P218" s="190" t="str">
        <f>IF(OR(ISBLANK(V218),COUNTBLANK(V218:$V$1048576)=ROWS(V218:$V$1048576)),"",$R$2*(1+SUM(V$7:V218)))</f>
        <v/>
      </c>
      <c r="Q218" s="191"/>
      <c r="R218" s="189"/>
      <c r="S218" s="53" t="str">
        <f t="shared" si="25"/>
        <v/>
      </c>
      <c r="T218" s="63" t="str">
        <f t="shared" si="26"/>
        <v/>
      </c>
      <c r="U218" s="64" t="str">
        <f>IF(OR(ISBLANK(Trades!R218), ISBLANK(Trades!H218), ISBLANK(Trades!I218)), "", IF(Trades!H218=Trades!I218, "N/A", (Trades!R218-Trades!H218)/(Trades!H218-Trades!I218)))</f>
        <v/>
      </c>
      <c r="V218" s="65" t="str">
        <f t="shared" si="27"/>
        <v/>
      </c>
      <c r="W218" s="66" t="str">
        <f t="shared" si="28"/>
        <v/>
      </c>
      <c r="X218" s="62" t="str">
        <f t="shared" si="29"/>
        <v/>
      </c>
      <c r="Y218" s="45"/>
      <c r="Z218" s="44"/>
      <c r="AA218" s="41"/>
      <c r="AB218" s="39"/>
      <c r="AC218" s="37" t="str">
        <f t="shared" si="30"/>
        <v/>
      </c>
    </row>
    <row r="219" spans="2:29" x14ac:dyDescent="0.25">
      <c r="B219" s="54">
        <v>213</v>
      </c>
      <c r="C219" s="168"/>
      <c r="D219" s="51"/>
      <c r="E219" s="29"/>
      <c r="F219" s="48"/>
      <c r="G219" s="29"/>
      <c r="H219" s="187"/>
      <c r="I219" s="187"/>
      <c r="J219" s="195"/>
      <c r="K219" s="86" t="str">
        <f t="shared" si="24"/>
        <v/>
      </c>
      <c r="L219" s="57" t="str">
        <f t="shared" si="31"/>
        <v/>
      </c>
      <c r="M219" s="186"/>
      <c r="N219" s="189"/>
      <c r="O219" s="190"/>
      <c r="P219" s="190" t="str">
        <f>IF(OR(ISBLANK(V219),COUNTBLANK(V219:$V$1048576)=ROWS(V219:$V$1048576)),"",$R$2*(1+SUM(V$7:V219)))</f>
        <v/>
      </c>
      <c r="Q219" s="191"/>
      <c r="R219" s="189"/>
      <c r="S219" s="53" t="str">
        <f t="shared" si="25"/>
        <v/>
      </c>
      <c r="T219" s="63" t="str">
        <f t="shared" si="26"/>
        <v/>
      </c>
      <c r="U219" s="64" t="str">
        <f>IF(OR(ISBLANK(Trades!R219), ISBLANK(Trades!H219), ISBLANK(Trades!I219)), "", IF(Trades!H219=Trades!I219, "N/A", (Trades!R219-Trades!H219)/(Trades!H219-Trades!I219)))</f>
        <v/>
      </c>
      <c r="V219" s="65" t="str">
        <f t="shared" si="27"/>
        <v/>
      </c>
      <c r="W219" s="66" t="str">
        <f t="shared" si="28"/>
        <v/>
      </c>
      <c r="X219" s="62" t="str">
        <f t="shared" si="29"/>
        <v/>
      </c>
      <c r="Y219" s="45"/>
      <c r="Z219" s="44"/>
      <c r="AA219" s="41"/>
      <c r="AB219" s="39"/>
      <c r="AC219" s="37" t="str">
        <f t="shared" si="30"/>
        <v/>
      </c>
    </row>
    <row r="220" spans="2:29" x14ac:dyDescent="0.25">
      <c r="B220" s="54">
        <v>214</v>
      </c>
      <c r="C220" s="168"/>
      <c r="D220" s="51"/>
      <c r="E220" s="29"/>
      <c r="F220" s="48"/>
      <c r="G220" s="29"/>
      <c r="H220" s="187"/>
      <c r="I220" s="187"/>
      <c r="J220" s="195"/>
      <c r="K220" s="86" t="str">
        <f t="shared" si="24"/>
        <v/>
      </c>
      <c r="L220" s="57" t="str">
        <f t="shared" si="31"/>
        <v/>
      </c>
      <c r="M220" s="186"/>
      <c r="N220" s="189"/>
      <c r="O220" s="190"/>
      <c r="P220" s="190" t="str">
        <f>IF(OR(ISBLANK(V220),COUNTBLANK(V220:$V$1048576)=ROWS(V220:$V$1048576)),"",$R$2*(1+SUM(V$7:V220)))</f>
        <v/>
      </c>
      <c r="Q220" s="191"/>
      <c r="R220" s="189"/>
      <c r="S220" s="53" t="str">
        <f t="shared" si="25"/>
        <v/>
      </c>
      <c r="T220" s="63" t="str">
        <f t="shared" si="26"/>
        <v/>
      </c>
      <c r="U220" s="64" t="str">
        <f>IF(OR(ISBLANK(Trades!R220), ISBLANK(Trades!H220), ISBLANK(Trades!I220)), "", IF(Trades!H220=Trades!I220, "N/A", (Trades!R220-Trades!H220)/(Trades!H220-Trades!I220)))</f>
        <v/>
      </c>
      <c r="V220" s="65" t="str">
        <f t="shared" si="27"/>
        <v/>
      </c>
      <c r="W220" s="66" t="str">
        <f t="shared" si="28"/>
        <v/>
      </c>
      <c r="X220" s="62" t="str">
        <f t="shared" si="29"/>
        <v/>
      </c>
      <c r="Y220" s="45"/>
      <c r="Z220" s="44"/>
      <c r="AA220" s="41"/>
      <c r="AB220" s="39"/>
      <c r="AC220" s="37" t="str">
        <f t="shared" si="30"/>
        <v/>
      </c>
    </row>
    <row r="221" spans="2:29" x14ac:dyDescent="0.25">
      <c r="B221" s="54">
        <v>215</v>
      </c>
      <c r="C221" s="168"/>
      <c r="D221" s="51"/>
      <c r="E221" s="29"/>
      <c r="F221" s="48"/>
      <c r="G221" s="29"/>
      <c r="H221" s="187"/>
      <c r="I221" s="187"/>
      <c r="J221" s="195"/>
      <c r="K221" s="86" t="str">
        <f t="shared" si="24"/>
        <v/>
      </c>
      <c r="L221" s="57" t="str">
        <f t="shared" si="31"/>
        <v/>
      </c>
      <c r="M221" s="186"/>
      <c r="N221" s="189"/>
      <c r="O221" s="190"/>
      <c r="P221" s="190" t="str">
        <f>IF(OR(ISBLANK(V221),COUNTBLANK(V221:$V$1048576)=ROWS(V221:$V$1048576)),"",$R$2*(1+SUM(V$7:V221)))</f>
        <v/>
      </c>
      <c r="Q221" s="191"/>
      <c r="R221" s="189"/>
      <c r="S221" s="53" t="str">
        <f t="shared" si="25"/>
        <v/>
      </c>
      <c r="T221" s="63" t="str">
        <f t="shared" si="26"/>
        <v/>
      </c>
      <c r="U221" s="64" t="str">
        <f>IF(OR(ISBLANK(Trades!R221), ISBLANK(Trades!H221), ISBLANK(Trades!I221)), "", IF(Trades!H221=Trades!I221, "N/A", (Trades!R221-Trades!H221)/(Trades!H221-Trades!I221)))</f>
        <v/>
      </c>
      <c r="V221" s="65" t="str">
        <f t="shared" si="27"/>
        <v/>
      </c>
      <c r="W221" s="66" t="str">
        <f t="shared" si="28"/>
        <v/>
      </c>
      <c r="X221" s="62" t="str">
        <f t="shared" si="29"/>
        <v/>
      </c>
      <c r="Y221" s="45"/>
      <c r="Z221" s="44"/>
      <c r="AA221" s="41"/>
      <c r="AB221" s="39"/>
      <c r="AC221" s="37" t="str">
        <f t="shared" si="30"/>
        <v/>
      </c>
    </row>
    <row r="222" spans="2:29" x14ac:dyDescent="0.25">
      <c r="B222" s="54">
        <v>216</v>
      </c>
      <c r="C222" s="168"/>
      <c r="D222" s="51"/>
      <c r="E222" s="29"/>
      <c r="F222" s="48"/>
      <c r="G222" s="29"/>
      <c r="H222" s="187"/>
      <c r="I222" s="187"/>
      <c r="J222" s="195"/>
      <c r="K222" s="86" t="str">
        <f t="shared" si="24"/>
        <v/>
      </c>
      <c r="L222" s="57" t="str">
        <f t="shared" si="31"/>
        <v/>
      </c>
      <c r="M222" s="186"/>
      <c r="N222" s="189"/>
      <c r="O222" s="190"/>
      <c r="P222" s="190" t="str">
        <f>IF(OR(ISBLANK(V222),COUNTBLANK(V222:$V$1048576)=ROWS(V222:$V$1048576)),"",$R$2*(1+SUM(V$7:V222)))</f>
        <v/>
      </c>
      <c r="Q222" s="191"/>
      <c r="R222" s="189"/>
      <c r="S222" s="53" t="str">
        <f t="shared" si="25"/>
        <v/>
      </c>
      <c r="T222" s="63" t="str">
        <f t="shared" si="26"/>
        <v/>
      </c>
      <c r="U222" s="64" t="str">
        <f>IF(OR(ISBLANK(Trades!R222), ISBLANK(Trades!H222), ISBLANK(Trades!I222)), "", IF(Trades!H222=Trades!I222, "N/A", (Trades!R222-Trades!H222)/(Trades!H222-Trades!I222)))</f>
        <v/>
      </c>
      <c r="V222" s="65" t="str">
        <f t="shared" si="27"/>
        <v/>
      </c>
      <c r="W222" s="66" t="str">
        <f t="shared" si="28"/>
        <v/>
      </c>
      <c r="X222" s="62" t="str">
        <f t="shared" si="29"/>
        <v/>
      </c>
      <c r="Y222" s="45"/>
      <c r="Z222" s="44"/>
      <c r="AA222" s="41"/>
      <c r="AB222" s="39"/>
      <c r="AC222" s="37" t="str">
        <f t="shared" si="30"/>
        <v/>
      </c>
    </row>
    <row r="223" spans="2:29" x14ac:dyDescent="0.25">
      <c r="B223" s="54">
        <v>217</v>
      </c>
      <c r="C223" s="168"/>
      <c r="D223" s="51"/>
      <c r="E223" s="29"/>
      <c r="F223" s="48"/>
      <c r="G223" s="29"/>
      <c r="H223" s="187"/>
      <c r="I223" s="187"/>
      <c r="J223" s="195"/>
      <c r="K223" s="86" t="str">
        <f t="shared" si="24"/>
        <v/>
      </c>
      <c r="L223" s="57" t="str">
        <f t="shared" si="31"/>
        <v/>
      </c>
      <c r="M223" s="186"/>
      <c r="N223" s="189"/>
      <c r="O223" s="190"/>
      <c r="P223" s="190" t="str">
        <f>IF(OR(ISBLANK(V223),COUNTBLANK(V223:$V$1048576)=ROWS(V223:$V$1048576)),"",$R$2*(1+SUM(V$7:V223)))</f>
        <v/>
      </c>
      <c r="Q223" s="191"/>
      <c r="R223" s="189"/>
      <c r="S223" s="53" t="str">
        <f t="shared" si="25"/>
        <v/>
      </c>
      <c r="T223" s="63" t="str">
        <f t="shared" si="26"/>
        <v/>
      </c>
      <c r="U223" s="64" t="str">
        <f>IF(OR(ISBLANK(Trades!R223), ISBLANK(Trades!H223), ISBLANK(Trades!I223)), "", IF(Trades!H223=Trades!I223, "N/A", (Trades!R223-Trades!H223)/(Trades!H223-Trades!I223)))</f>
        <v/>
      </c>
      <c r="V223" s="65" t="str">
        <f t="shared" si="27"/>
        <v/>
      </c>
      <c r="W223" s="66" t="str">
        <f t="shared" si="28"/>
        <v/>
      </c>
      <c r="X223" s="62" t="str">
        <f t="shared" si="29"/>
        <v/>
      </c>
      <c r="Y223" s="45"/>
      <c r="Z223" s="44"/>
      <c r="AA223" s="41"/>
      <c r="AB223" s="39"/>
      <c r="AC223" s="37" t="str">
        <f t="shared" si="30"/>
        <v/>
      </c>
    </row>
    <row r="224" spans="2:29" x14ac:dyDescent="0.25">
      <c r="B224" s="54">
        <v>218</v>
      </c>
      <c r="C224" s="168"/>
      <c r="D224" s="51"/>
      <c r="E224" s="29"/>
      <c r="F224" s="48"/>
      <c r="G224" s="29"/>
      <c r="H224" s="187"/>
      <c r="I224" s="187"/>
      <c r="J224" s="195"/>
      <c r="K224" s="86" t="str">
        <f t="shared" si="24"/>
        <v/>
      </c>
      <c r="L224" s="57" t="str">
        <f t="shared" si="31"/>
        <v/>
      </c>
      <c r="M224" s="186"/>
      <c r="N224" s="189"/>
      <c r="O224" s="190"/>
      <c r="P224" s="190" t="str">
        <f>IF(OR(ISBLANK(V224),COUNTBLANK(V224:$V$1048576)=ROWS(V224:$V$1048576)),"",$R$2*(1+SUM(V$7:V224)))</f>
        <v/>
      </c>
      <c r="Q224" s="191"/>
      <c r="R224" s="189"/>
      <c r="S224" s="53" t="str">
        <f t="shared" si="25"/>
        <v/>
      </c>
      <c r="T224" s="63" t="str">
        <f t="shared" si="26"/>
        <v/>
      </c>
      <c r="U224" s="64" t="str">
        <f>IF(OR(ISBLANK(Trades!R224), ISBLANK(Trades!H224), ISBLANK(Trades!I224)), "", IF(Trades!H224=Trades!I224, "N/A", (Trades!R224-Trades!H224)/(Trades!H224-Trades!I224)))</f>
        <v/>
      </c>
      <c r="V224" s="65" t="str">
        <f t="shared" si="27"/>
        <v/>
      </c>
      <c r="W224" s="66" t="str">
        <f t="shared" si="28"/>
        <v/>
      </c>
      <c r="X224" s="62" t="str">
        <f t="shared" si="29"/>
        <v/>
      </c>
      <c r="Y224" s="45"/>
      <c r="Z224" s="44"/>
      <c r="AA224" s="41"/>
      <c r="AB224" s="39"/>
      <c r="AC224" s="37" t="str">
        <f t="shared" si="30"/>
        <v/>
      </c>
    </row>
    <row r="225" spans="2:29" x14ac:dyDescent="0.25">
      <c r="B225" s="54">
        <v>219</v>
      </c>
      <c r="C225" s="168"/>
      <c r="D225" s="51"/>
      <c r="E225" s="29"/>
      <c r="F225" s="48"/>
      <c r="G225" s="29"/>
      <c r="H225" s="187"/>
      <c r="I225" s="187"/>
      <c r="J225" s="195"/>
      <c r="K225" s="86" t="str">
        <f t="shared" si="24"/>
        <v/>
      </c>
      <c r="L225" s="57" t="str">
        <f t="shared" si="31"/>
        <v/>
      </c>
      <c r="M225" s="186"/>
      <c r="N225" s="189"/>
      <c r="O225" s="190"/>
      <c r="P225" s="190" t="str">
        <f>IF(OR(ISBLANK(V225),COUNTBLANK(V225:$V$1048576)=ROWS(V225:$V$1048576)),"",$R$2*(1+SUM(V$7:V225)))</f>
        <v/>
      </c>
      <c r="Q225" s="191"/>
      <c r="R225" s="189"/>
      <c r="S225" s="53" t="str">
        <f t="shared" si="25"/>
        <v/>
      </c>
      <c r="T225" s="63" t="str">
        <f t="shared" si="26"/>
        <v/>
      </c>
      <c r="U225" s="64" t="str">
        <f>IF(OR(ISBLANK(Trades!R225), ISBLANK(Trades!H225), ISBLANK(Trades!I225)), "", IF(Trades!H225=Trades!I225, "N/A", (Trades!R225-Trades!H225)/(Trades!H225-Trades!I225)))</f>
        <v/>
      </c>
      <c r="V225" s="65" t="str">
        <f t="shared" si="27"/>
        <v/>
      </c>
      <c r="W225" s="66" t="str">
        <f t="shared" si="28"/>
        <v/>
      </c>
      <c r="X225" s="62" t="str">
        <f t="shared" si="29"/>
        <v/>
      </c>
      <c r="Y225" s="45"/>
      <c r="Z225" s="44"/>
      <c r="AA225" s="41"/>
      <c r="AB225" s="39"/>
      <c r="AC225" s="37" t="str">
        <f t="shared" si="30"/>
        <v/>
      </c>
    </row>
    <row r="226" spans="2:29" x14ac:dyDescent="0.25">
      <c r="B226" s="54">
        <v>220</v>
      </c>
      <c r="C226" s="168"/>
      <c r="D226" s="51"/>
      <c r="E226" s="29"/>
      <c r="F226" s="48"/>
      <c r="G226" s="29"/>
      <c r="H226" s="187"/>
      <c r="I226" s="187"/>
      <c r="J226" s="195"/>
      <c r="K226" s="86" t="str">
        <f t="shared" si="24"/>
        <v/>
      </c>
      <c r="L226" s="57" t="str">
        <f t="shared" si="31"/>
        <v/>
      </c>
      <c r="M226" s="186"/>
      <c r="N226" s="189"/>
      <c r="O226" s="190"/>
      <c r="P226" s="190" t="str">
        <f>IF(OR(ISBLANK(V226),COUNTBLANK(V226:$V$1048576)=ROWS(V226:$V$1048576)),"",$R$2*(1+SUM(V$7:V226)))</f>
        <v/>
      </c>
      <c r="Q226" s="191"/>
      <c r="R226" s="189"/>
      <c r="S226" s="53" t="str">
        <f t="shared" si="25"/>
        <v/>
      </c>
      <c r="T226" s="63" t="str">
        <f t="shared" si="26"/>
        <v/>
      </c>
      <c r="U226" s="64" t="str">
        <f>IF(OR(ISBLANK(Trades!R226), ISBLANK(Trades!H226), ISBLANK(Trades!I226)), "", IF(Trades!H226=Trades!I226, "N/A", (Trades!R226-Trades!H226)/(Trades!H226-Trades!I226)))</f>
        <v/>
      </c>
      <c r="V226" s="65" t="str">
        <f t="shared" si="27"/>
        <v/>
      </c>
      <c r="W226" s="66" t="str">
        <f t="shared" si="28"/>
        <v/>
      </c>
      <c r="X226" s="62" t="str">
        <f t="shared" si="29"/>
        <v/>
      </c>
      <c r="Y226" s="45"/>
      <c r="Z226" s="44"/>
      <c r="AA226" s="41"/>
      <c r="AB226" s="39"/>
      <c r="AC226" s="37" t="str">
        <f t="shared" si="30"/>
        <v/>
      </c>
    </row>
    <row r="227" spans="2:29" x14ac:dyDescent="0.25">
      <c r="B227" s="54">
        <v>221</v>
      </c>
      <c r="C227" s="168"/>
      <c r="D227" s="51"/>
      <c r="E227" s="29"/>
      <c r="F227" s="48"/>
      <c r="G227" s="29"/>
      <c r="H227" s="187"/>
      <c r="I227" s="187"/>
      <c r="J227" s="195"/>
      <c r="K227" s="86" t="str">
        <f t="shared" si="24"/>
        <v/>
      </c>
      <c r="L227" s="57" t="str">
        <f t="shared" si="31"/>
        <v/>
      </c>
      <c r="M227" s="186"/>
      <c r="N227" s="189"/>
      <c r="O227" s="190"/>
      <c r="P227" s="190" t="str">
        <f>IF(OR(ISBLANK(V227),COUNTBLANK(V227:$V$1048576)=ROWS(V227:$V$1048576)),"",$R$2*(1+SUM(V$7:V227)))</f>
        <v/>
      </c>
      <c r="Q227" s="191"/>
      <c r="R227" s="189"/>
      <c r="S227" s="53" t="str">
        <f t="shared" si="25"/>
        <v/>
      </c>
      <c r="T227" s="63" t="str">
        <f t="shared" si="26"/>
        <v/>
      </c>
      <c r="U227" s="64" t="str">
        <f>IF(OR(ISBLANK(Trades!R227), ISBLANK(Trades!H227), ISBLANK(Trades!I227)), "", IF(Trades!H227=Trades!I227, "N/A", (Trades!R227-Trades!H227)/(Trades!H227-Trades!I227)))</f>
        <v/>
      </c>
      <c r="V227" s="65" t="str">
        <f t="shared" si="27"/>
        <v/>
      </c>
      <c r="W227" s="66" t="str">
        <f t="shared" si="28"/>
        <v/>
      </c>
      <c r="X227" s="62" t="str">
        <f t="shared" si="29"/>
        <v/>
      </c>
      <c r="Y227" s="45"/>
      <c r="Z227" s="44"/>
      <c r="AA227" s="41"/>
      <c r="AB227" s="39"/>
      <c r="AC227" s="37" t="str">
        <f t="shared" si="30"/>
        <v/>
      </c>
    </row>
    <row r="228" spans="2:29" x14ac:dyDescent="0.25">
      <c r="B228" s="54">
        <v>222</v>
      </c>
      <c r="C228" s="168"/>
      <c r="D228" s="51"/>
      <c r="E228" s="29"/>
      <c r="F228" s="48"/>
      <c r="G228" s="29"/>
      <c r="H228" s="187"/>
      <c r="I228" s="187"/>
      <c r="J228" s="195"/>
      <c r="K228" s="86" t="str">
        <f t="shared" si="24"/>
        <v/>
      </c>
      <c r="L228" s="57" t="str">
        <f t="shared" si="31"/>
        <v/>
      </c>
      <c r="M228" s="186"/>
      <c r="N228" s="189"/>
      <c r="O228" s="190"/>
      <c r="P228" s="190" t="str">
        <f>IF(OR(ISBLANK(V228),COUNTBLANK(V228:$V$1048576)=ROWS(V228:$V$1048576)),"",$R$2*(1+SUM(V$7:V228)))</f>
        <v/>
      </c>
      <c r="Q228" s="191"/>
      <c r="R228" s="189"/>
      <c r="S228" s="53" t="str">
        <f t="shared" si="25"/>
        <v/>
      </c>
      <c r="T228" s="63" t="str">
        <f t="shared" si="26"/>
        <v/>
      </c>
      <c r="U228" s="64" t="str">
        <f>IF(OR(ISBLANK(Trades!R228), ISBLANK(Trades!H228), ISBLANK(Trades!I228)), "", IF(Trades!H228=Trades!I228, "N/A", (Trades!R228-Trades!H228)/(Trades!H228-Trades!I228)))</f>
        <v/>
      </c>
      <c r="V228" s="65" t="str">
        <f t="shared" si="27"/>
        <v/>
      </c>
      <c r="W228" s="66" t="str">
        <f t="shared" si="28"/>
        <v/>
      </c>
      <c r="X228" s="62" t="str">
        <f t="shared" si="29"/>
        <v/>
      </c>
      <c r="Y228" s="45"/>
      <c r="Z228" s="44"/>
      <c r="AA228" s="41"/>
      <c r="AB228" s="39"/>
      <c r="AC228" s="37" t="str">
        <f t="shared" si="30"/>
        <v/>
      </c>
    </row>
    <row r="229" spans="2:29" x14ac:dyDescent="0.25">
      <c r="B229" s="54">
        <v>223</v>
      </c>
      <c r="C229" s="168"/>
      <c r="D229" s="51"/>
      <c r="E229" s="29"/>
      <c r="F229" s="48"/>
      <c r="G229" s="29"/>
      <c r="H229" s="187"/>
      <c r="I229" s="187"/>
      <c r="J229" s="195"/>
      <c r="K229" s="86" t="str">
        <f t="shared" si="24"/>
        <v/>
      </c>
      <c r="L229" s="57" t="str">
        <f t="shared" si="31"/>
        <v/>
      </c>
      <c r="M229" s="186"/>
      <c r="N229" s="189"/>
      <c r="O229" s="190"/>
      <c r="P229" s="190" t="str">
        <f>IF(OR(ISBLANK(V229),COUNTBLANK(V229:$V$1048576)=ROWS(V229:$V$1048576)),"",$R$2*(1+SUM(V$7:V229)))</f>
        <v/>
      </c>
      <c r="Q229" s="191"/>
      <c r="R229" s="189"/>
      <c r="S229" s="53" t="str">
        <f t="shared" si="25"/>
        <v/>
      </c>
      <c r="T229" s="63" t="str">
        <f t="shared" si="26"/>
        <v/>
      </c>
      <c r="U229" s="64" t="str">
        <f>IF(OR(ISBLANK(Trades!R229), ISBLANK(Trades!H229), ISBLANK(Trades!I229)), "", IF(Trades!H229=Trades!I229, "N/A", (Trades!R229-Trades!H229)/(Trades!H229-Trades!I229)))</f>
        <v/>
      </c>
      <c r="V229" s="65" t="str">
        <f t="shared" si="27"/>
        <v/>
      </c>
      <c r="W229" s="66" t="str">
        <f t="shared" si="28"/>
        <v/>
      </c>
      <c r="X229" s="62" t="str">
        <f t="shared" si="29"/>
        <v/>
      </c>
      <c r="Y229" s="45"/>
      <c r="Z229" s="44"/>
      <c r="AA229" s="41"/>
      <c r="AB229" s="39"/>
      <c r="AC229" s="37" t="str">
        <f t="shared" si="30"/>
        <v/>
      </c>
    </row>
    <row r="230" spans="2:29" x14ac:dyDescent="0.25">
      <c r="B230" s="54">
        <v>224</v>
      </c>
      <c r="C230" s="168"/>
      <c r="D230" s="51"/>
      <c r="E230" s="29"/>
      <c r="F230" s="48"/>
      <c r="G230" s="29"/>
      <c r="H230" s="187"/>
      <c r="I230" s="187"/>
      <c r="J230" s="195"/>
      <c r="K230" s="86" t="str">
        <f t="shared" si="24"/>
        <v/>
      </c>
      <c r="L230" s="57" t="str">
        <f t="shared" si="31"/>
        <v/>
      </c>
      <c r="M230" s="186"/>
      <c r="N230" s="189"/>
      <c r="O230" s="190"/>
      <c r="P230" s="190" t="str">
        <f>IF(OR(ISBLANK(V230),COUNTBLANK(V230:$V$1048576)=ROWS(V230:$V$1048576)),"",$R$2*(1+SUM(V$7:V230)))</f>
        <v/>
      </c>
      <c r="Q230" s="191"/>
      <c r="R230" s="189"/>
      <c r="S230" s="53" t="str">
        <f t="shared" si="25"/>
        <v/>
      </c>
      <c r="T230" s="63" t="str">
        <f t="shared" si="26"/>
        <v/>
      </c>
      <c r="U230" s="64" t="str">
        <f>IF(OR(ISBLANK(Trades!R230), ISBLANK(Trades!H230), ISBLANK(Trades!I230)), "", IF(Trades!H230=Trades!I230, "N/A", (Trades!R230-Trades!H230)/(Trades!H230-Trades!I230)))</f>
        <v/>
      </c>
      <c r="V230" s="65" t="str">
        <f t="shared" si="27"/>
        <v/>
      </c>
      <c r="W230" s="66" t="str">
        <f t="shared" si="28"/>
        <v/>
      </c>
      <c r="X230" s="62" t="str">
        <f t="shared" si="29"/>
        <v/>
      </c>
      <c r="Y230" s="45"/>
      <c r="Z230" s="44"/>
      <c r="AA230" s="41"/>
      <c r="AB230" s="39"/>
      <c r="AC230" s="37" t="str">
        <f t="shared" si="30"/>
        <v/>
      </c>
    </row>
    <row r="231" spans="2:29" x14ac:dyDescent="0.25">
      <c r="B231" s="54">
        <v>225</v>
      </c>
      <c r="C231" s="168"/>
      <c r="D231" s="51"/>
      <c r="E231" s="29"/>
      <c r="F231" s="48"/>
      <c r="G231" s="29"/>
      <c r="H231" s="187"/>
      <c r="I231" s="187"/>
      <c r="J231" s="195"/>
      <c r="K231" s="86" t="str">
        <f t="shared" si="24"/>
        <v/>
      </c>
      <c r="L231" s="57" t="str">
        <f t="shared" si="31"/>
        <v/>
      </c>
      <c r="M231" s="186"/>
      <c r="N231" s="189"/>
      <c r="O231" s="190"/>
      <c r="P231" s="190" t="str">
        <f>IF(OR(ISBLANK(V231),COUNTBLANK(V231:$V$1048576)=ROWS(V231:$V$1048576)),"",$R$2*(1+SUM(V$7:V231)))</f>
        <v/>
      </c>
      <c r="Q231" s="191"/>
      <c r="R231" s="189"/>
      <c r="S231" s="53" t="str">
        <f t="shared" si="25"/>
        <v/>
      </c>
      <c r="T231" s="63" t="str">
        <f t="shared" si="26"/>
        <v/>
      </c>
      <c r="U231" s="64" t="str">
        <f>IF(OR(ISBLANK(Trades!R231), ISBLANK(Trades!H231), ISBLANK(Trades!I231)), "", IF(Trades!H231=Trades!I231, "N/A", (Trades!R231-Trades!H231)/(Trades!H231-Trades!I231)))</f>
        <v/>
      </c>
      <c r="V231" s="65" t="str">
        <f t="shared" si="27"/>
        <v/>
      </c>
      <c r="W231" s="66" t="str">
        <f t="shared" si="28"/>
        <v/>
      </c>
      <c r="X231" s="62" t="str">
        <f t="shared" si="29"/>
        <v/>
      </c>
      <c r="Y231" s="45"/>
      <c r="Z231" s="44"/>
      <c r="AA231" s="41"/>
      <c r="AB231" s="39"/>
      <c r="AC231" s="37" t="str">
        <f t="shared" si="30"/>
        <v/>
      </c>
    </row>
    <row r="232" spans="2:29" x14ac:dyDescent="0.25">
      <c r="B232" s="54">
        <v>226</v>
      </c>
      <c r="C232" s="168"/>
      <c r="D232" s="51"/>
      <c r="E232" s="29"/>
      <c r="F232" s="48"/>
      <c r="G232" s="29"/>
      <c r="H232" s="187"/>
      <c r="I232" s="187"/>
      <c r="J232" s="195"/>
      <c r="K232" s="86" t="str">
        <f t="shared" si="24"/>
        <v/>
      </c>
      <c r="L232" s="57" t="str">
        <f t="shared" si="31"/>
        <v/>
      </c>
      <c r="M232" s="186"/>
      <c r="N232" s="189"/>
      <c r="O232" s="190"/>
      <c r="P232" s="190" t="str">
        <f>IF(OR(ISBLANK(V232),COUNTBLANK(V232:$V$1048576)=ROWS(V232:$V$1048576)),"",$R$2*(1+SUM(V$7:V232)))</f>
        <v/>
      </c>
      <c r="Q232" s="191"/>
      <c r="R232" s="189"/>
      <c r="S232" s="53" t="str">
        <f t="shared" si="25"/>
        <v/>
      </c>
      <c r="T232" s="63" t="str">
        <f t="shared" si="26"/>
        <v/>
      </c>
      <c r="U232" s="64" t="str">
        <f>IF(OR(ISBLANK(Trades!R232), ISBLANK(Trades!H232), ISBLANK(Trades!I232)), "", IF(Trades!H232=Trades!I232, "N/A", (Trades!R232-Trades!H232)/(Trades!H232-Trades!I232)))</f>
        <v/>
      </c>
      <c r="V232" s="65" t="str">
        <f t="shared" si="27"/>
        <v/>
      </c>
      <c r="W232" s="66" t="str">
        <f t="shared" si="28"/>
        <v/>
      </c>
      <c r="X232" s="62" t="str">
        <f t="shared" si="29"/>
        <v/>
      </c>
      <c r="Y232" s="45"/>
      <c r="Z232" s="44"/>
      <c r="AA232" s="41"/>
      <c r="AB232" s="39"/>
      <c r="AC232" s="37" t="str">
        <f t="shared" si="30"/>
        <v/>
      </c>
    </row>
    <row r="233" spans="2:29" x14ac:dyDescent="0.25">
      <c r="B233" s="54">
        <v>227</v>
      </c>
      <c r="C233" s="168"/>
      <c r="D233" s="51"/>
      <c r="E233" s="29"/>
      <c r="F233" s="48"/>
      <c r="G233" s="29"/>
      <c r="H233" s="187"/>
      <c r="I233" s="187"/>
      <c r="J233" s="195"/>
      <c r="K233" s="86" t="str">
        <f t="shared" si="24"/>
        <v/>
      </c>
      <c r="L233" s="57" t="str">
        <f t="shared" si="31"/>
        <v/>
      </c>
      <c r="M233" s="186"/>
      <c r="N233" s="189"/>
      <c r="O233" s="190"/>
      <c r="P233" s="190" t="str">
        <f>IF(OR(ISBLANK(V233),COUNTBLANK(V233:$V$1048576)=ROWS(V233:$V$1048576)),"",$R$2*(1+SUM(V$7:V233)))</f>
        <v/>
      </c>
      <c r="Q233" s="191"/>
      <c r="R233" s="189"/>
      <c r="S233" s="53" t="str">
        <f t="shared" si="25"/>
        <v/>
      </c>
      <c r="T233" s="63" t="str">
        <f t="shared" si="26"/>
        <v/>
      </c>
      <c r="U233" s="64" t="str">
        <f>IF(OR(ISBLANK(Trades!R233), ISBLANK(Trades!H233), ISBLANK(Trades!I233)), "", IF(Trades!H233=Trades!I233, "N/A", (Trades!R233-Trades!H233)/(Trades!H233-Trades!I233)))</f>
        <v/>
      </c>
      <c r="V233" s="65" t="str">
        <f t="shared" si="27"/>
        <v/>
      </c>
      <c r="W233" s="66" t="str">
        <f t="shared" si="28"/>
        <v/>
      </c>
      <c r="X233" s="62" t="str">
        <f t="shared" si="29"/>
        <v/>
      </c>
      <c r="Y233" s="45"/>
      <c r="Z233" s="44"/>
      <c r="AA233" s="41"/>
      <c r="AB233" s="39"/>
      <c r="AC233" s="37" t="str">
        <f t="shared" si="30"/>
        <v/>
      </c>
    </row>
    <row r="234" spans="2:29" x14ac:dyDescent="0.25">
      <c r="B234" s="54">
        <v>228</v>
      </c>
      <c r="C234" s="168"/>
      <c r="D234" s="51"/>
      <c r="E234" s="29"/>
      <c r="F234" s="48"/>
      <c r="G234" s="29"/>
      <c r="H234" s="187"/>
      <c r="I234" s="187"/>
      <c r="J234" s="195"/>
      <c r="K234" s="86" t="str">
        <f t="shared" si="24"/>
        <v/>
      </c>
      <c r="L234" s="57" t="str">
        <f t="shared" si="31"/>
        <v/>
      </c>
      <c r="M234" s="186"/>
      <c r="N234" s="189"/>
      <c r="O234" s="190"/>
      <c r="P234" s="190" t="str">
        <f>IF(OR(ISBLANK(V234),COUNTBLANK(V234:$V$1048576)=ROWS(V234:$V$1048576)),"",$R$2*(1+SUM(V$7:V234)))</f>
        <v/>
      </c>
      <c r="Q234" s="191"/>
      <c r="R234" s="189"/>
      <c r="S234" s="53" t="str">
        <f t="shared" si="25"/>
        <v/>
      </c>
      <c r="T234" s="63" t="str">
        <f t="shared" si="26"/>
        <v/>
      </c>
      <c r="U234" s="64" t="str">
        <f>IF(OR(ISBLANK(Trades!R234), ISBLANK(Trades!H234), ISBLANK(Trades!I234)), "", IF(Trades!H234=Trades!I234, "N/A", (Trades!R234-Trades!H234)/(Trades!H234-Trades!I234)))</f>
        <v/>
      </c>
      <c r="V234" s="65" t="str">
        <f t="shared" si="27"/>
        <v/>
      </c>
      <c r="W234" s="66" t="str">
        <f t="shared" si="28"/>
        <v/>
      </c>
      <c r="X234" s="62" t="str">
        <f t="shared" si="29"/>
        <v/>
      </c>
      <c r="Y234" s="45"/>
      <c r="Z234" s="44"/>
      <c r="AA234" s="41"/>
      <c r="AB234" s="39"/>
      <c r="AC234" s="37" t="str">
        <f t="shared" si="30"/>
        <v/>
      </c>
    </row>
    <row r="235" spans="2:29" x14ac:dyDescent="0.25">
      <c r="B235" s="54">
        <v>229</v>
      </c>
      <c r="C235" s="168"/>
      <c r="D235" s="51"/>
      <c r="E235" s="29"/>
      <c r="F235" s="48"/>
      <c r="G235" s="29"/>
      <c r="H235" s="187"/>
      <c r="I235" s="187"/>
      <c r="J235" s="195"/>
      <c r="K235" s="86" t="str">
        <f t="shared" si="24"/>
        <v/>
      </c>
      <c r="L235" s="57" t="str">
        <f t="shared" si="31"/>
        <v/>
      </c>
      <c r="M235" s="186"/>
      <c r="N235" s="189"/>
      <c r="O235" s="190"/>
      <c r="P235" s="190" t="str">
        <f>IF(OR(ISBLANK(V235),COUNTBLANK(V235:$V$1048576)=ROWS(V235:$V$1048576)),"",$R$2*(1+SUM(V$7:V235)))</f>
        <v/>
      </c>
      <c r="Q235" s="191"/>
      <c r="R235" s="189"/>
      <c r="S235" s="53" t="str">
        <f t="shared" si="25"/>
        <v/>
      </c>
      <c r="T235" s="63" t="str">
        <f t="shared" si="26"/>
        <v/>
      </c>
      <c r="U235" s="64" t="str">
        <f>IF(OR(ISBLANK(Trades!R235), ISBLANK(Trades!H235), ISBLANK(Trades!I235)), "", IF(Trades!H235=Trades!I235, "N/A", (Trades!R235-Trades!H235)/(Trades!H235-Trades!I235)))</f>
        <v/>
      </c>
      <c r="V235" s="65" t="str">
        <f t="shared" si="27"/>
        <v/>
      </c>
      <c r="W235" s="66" t="str">
        <f t="shared" si="28"/>
        <v/>
      </c>
      <c r="X235" s="62" t="str">
        <f t="shared" si="29"/>
        <v/>
      </c>
      <c r="Y235" s="45"/>
      <c r="Z235" s="44"/>
      <c r="AA235" s="41"/>
      <c r="AB235" s="39"/>
      <c r="AC235" s="37" t="str">
        <f t="shared" si="30"/>
        <v/>
      </c>
    </row>
    <row r="236" spans="2:29" x14ac:dyDescent="0.25">
      <c r="B236" s="54">
        <v>230</v>
      </c>
      <c r="C236" s="168"/>
      <c r="D236" s="51"/>
      <c r="E236" s="29"/>
      <c r="F236" s="48"/>
      <c r="G236" s="29"/>
      <c r="H236" s="187"/>
      <c r="I236" s="187"/>
      <c r="J236" s="195"/>
      <c r="K236" s="86" t="str">
        <f t="shared" si="24"/>
        <v/>
      </c>
      <c r="L236" s="57" t="str">
        <f t="shared" si="31"/>
        <v/>
      </c>
      <c r="M236" s="186"/>
      <c r="N236" s="189"/>
      <c r="O236" s="190"/>
      <c r="P236" s="190" t="str">
        <f>IF(OR(ISBLANK(V236),COUNTBLANK(V236:$V$1048576)=ROWS(V236:$V$1048576)),"",$R$2*(1+SUM(V$7:V236)))</f>
        <v/>
      </c>
      <c r="Q236" s="191"/>
      <c r="R236" s="189"/>
      <c r="S236" s="53" t="str">
        <f t="shared" si="25"/>
        <v/>
      </c>
      <c r="T236" s="63" t="str">
        <f t="shared" si="26"/>
        <v/>
      </c>
      <c r="U236" s="64" t="str">
        <f>IF(OR(ISBLANK(Trades!R236), ISBLANK(Trades!H236), ISBLANK(Trades!I236)), "", IF(Trades!H236=Trades!I236, "N/A", (Trades!R236-Trades!H236)/(Trades!H236-Trades!I236)))</f>
        <v/>
      </c>
      <c r="V236" s="65" t="str">
        <f t="shared" si="27"/>
        <v/>
      </c>
      <c r="W236" s="66" t="str">
        <f t="shared" si="28"/>
        <v/>
      </c>
      <c r="X236" s="62" t="str">
        <f t="shared" si="29"/>
        <v/>
      </c>
      <c r="Y236" s="45"/>
      <c r="Z236" s="44"/>
      <c r="AA236" s="41"/>
      <c r="AB236" s="39"/>
      <c r="AC236" s="37" t="str">
        <f t="shared" si="30"/>
        <v/>
      </c>
    </row>
    <row r="237" spans="2:29" x14ac:dyDescent="0.25">
      <c r="B237" s="54">
        <v>231</v>
      </c>
      <c r="C237" s="168"/>
      <c r="D237" s="51"/>
      <c r="E237" s="29"/>
      <c r="F237" s="48"/>
      <c r="G237" s="29"/>
      <c r="H237" s="187"/>
      <c r="I237" s="187"/>
      <c r="J237" s="195"/>
      <c r="K237" s="86" t="str">
        <f t="shared" si="24"/>
        <v/>
      </c>
      <c r="L237" s="57" t="str">
        <f t="shared" si="31"/>
        <v/>
      </c>
      <c r="M237" s="186"/>
      <c r="N237" s="189"/>
      <c r="O237" s="190"/>
      <c r="P237" s="190" t="str">
        <f>IF(OR(ISBLANK(V237),COUNTBLANK(V237:$V$1048576)=ROWS(V237:$V$1048576)),"",$R$2*(1+SUM(V$7:V237)))</f>
        <v/>
      </c>
      <c r="Q237" s="191"/>
      <c r="R237" s="189"/>
      <c r="S237" s="53" t="str">
        <f t="shared" si="25"/>
        <v/>
      </c>
      <c r="T237" s="63" t="str">
        <f t="shared" si="26"/>
        <v/>
      </c>
      <c r="U237" s="64" t="str">
        <f>IF(OR(ISBLANK(Trades!R237), ISBLANK(Trades!H237), ISBLANK(Trades!I237)), "", IF(Trades!H237=Trades!I237, "N/A", (Trades!R237-Trades!H237)/(Trades!H237-Trades!I237)))</f>
        <v/>
      </c>
      <c r="V237" s="65" t="str">
        <f t="shared" si="27"/>
        <v/>
      </c>
      <c r="W237" s="66" t="str">
        <f t="shared" si="28"/>
        <v/>
      </c>
      <c r="X237" s="62" t="str">
        <f t="shared" si="29"/>
        <v/>
      </c>
      <c r="Y237" s="45"/>
      <c r="Z237" s="44"/>
      <c r="AA237" s="41"/>
      <c r="AB237" s="39"/>
      <c r="AC237" s="37" t="str">
        <f t="shared" si="30"/>
        <v/>
      </c>
    </row>
    <row r="238" spans="2:29" x14ac:dyDescent="0.25">
      <c r="B238" s="54">
        <v>232</v>
      </c>
      <c r="C238" s="168"/>
      <c r="D238" s="51"/>
      <c r="E238" s="29"/>
      <c r="F238" s="48"/>
      <c r="G238" s="29"/>
      <c r="H238" s="187"/>
      <c r="I238" s="187"/>
      <c r="J238" s="195"/>
      <c r="K238" s="86" t="str">
        <f t="shared" si="24"/>
        <v/>
      </c>
      <c r="L238" s="57" t="str">
        <f t="shared" si="31"/>
        <v/>
      </c>
      <c r="M238" s="186"/>
      <c r="N238" s="189"/>
      <c r="O238" s="190"/>
      <c r="P238" s="190" t="str">
        <f>IF(OR(ISBLANK(V238),COUNTBLANK(V238:$V$1048576)=ROWS(V238:$V$1048576)),"",$R$2*(1+SUM(V$7:V238)))</f>
        <v/>
      </c>
      <c r="Q238" s="191"/>
      <c r="R238" s="189"/>
      <c r="S238" s="53" t="str">
        <f t="shared" si="25"/>
        <v/>
      </c>
      <c r="T238" s="63" t="str">
        <f t="shared" si="26"/>
        <v/>
      </c>
      <c r="U238" s="64" t="str">
        <f>IF(OR(ISBLANK(Trades!R238), ISBLANK(Trades!H238), ISBLANK(Trades!I238)), "", IF(Trades!H238=Trades!I238, "N/A", (Trades!R238-Trades!H238)/(Trades!H238-Trades!I238)))</f>
        <v/>
      </c>
      <c r="V238" s="65" t="str">
        <f t="shared" si="27"/>
        <v/>
      </c>
      <c r="W238" s="66" t="str">
        <f t="shared" si="28"/>
        <v/>
      </c>
      <c r="X238" s="62" t="str">
        <f t="shared" si="29"/>
        <v/>
      </c>
      <c r="Y238" s="45"/>
      <c r="Z238" s="44"/>
      <c r="AA238" s="41"/>
      <c r="AB238" s="39"/>
      <c r="AC238" s="37" t="str">
        <f t="shared" si="30"/>
        <v/>
      </c>
    </row>
    <row r="239" spans="2:29" x14ac:dyDescent="0.25">
      <c r="B239" s="54">
        <v>233</v>
      </c>
      <c r="C239" s="168"/>
      <c r="D239" s="51"/>
      <c r="E239" s="29"/>
      <c r="F239" s="48"/>
      <c r="G239" s="29"/>
      <c r="H239" s="187"/>
      <c r="I239" s="187"/>
      <c r="J239" s="195"/>
      <c r="K239" s="86" t="str">
        <f t="shared" si="24"/>
        <v/>
      </c>
      <c r="L239" s="57" t="str">
        <f t="shared" si="31"/>
        <v/>
      </c>
      <c r="M239" s="186"/>
      <c r="N239" s="189"/>
      <c r="O239" s="190"/>
      <c r="P239" s="190" t="str">
        <f>IF(OR(ISBLANK(V239),COUNTBLANK(V239:$V$1048576)=ROWS(V239:$V$1048576)),"",$R$2*(1+SUM(V$7:V239)))</f>
        <v/>
      </c>
      <c r="Q239" s="191"/>
      <c r="R239" s="189"/>
      <c r="S239" s="53" t="str">
        <f t="shared" si="25"/>
        <v/>
      </c>
      <c r="T239" s="63" t="str">
        <f t="shared" si="26"/>
        <v/>
      </c>
      <c r="U239" s="64" t="str">
        <f>IF(OR(ISBLANK(Trades!R239), ISBLANK(Trades!H239), ISBLANK(Trades!I239)), "", IF(Trades!H239=Trades!I239, "N/A", (Trades!R239-Trades!H239)/(Trades!H239-Trades!I239)))</f>
        <v/>
      </c>
      <c r="V239" s="65" t="str">
        <f t="shared" si="27"/>
        <v/>
      </c>
      <c r="W239" s="66" t="str">
        <f t="shared" si="28"/>
        <v/>
      </c>
      <c r="X239" s="62" t="str">
        <f t="shared" si="29"/>
        <v/>
      </c>
      <c r="Y239" s="45"/>
      <c r="Z239" s="44"/>
      <c r="AA239" s="41"/>
      <c r="AB239" s="39"/>
      <c r="AC239" s="37" t="str">
        <f t="shared" si="30"/>
        <v/>
      </c>
    </row>
    <row r="240" spans="2:29" x14ac:dyDescent="0.25">
      <c r="B240" s="54">
        <v>234</v>
      </c>
      <c r="C240" s="168"/>
      <c r="D240" s="51"/>
      <c r="E240" s="29"/>
      <c r="F240" s="48"/>
      <c r="G240" s="29"/>
      <c r="H240" s="187"/>
      <c r="I240" s="187"/>
      <c r="J240" s="195"/>
      <c r="K240" s="86" t="str">
        <f t="shared" si="24"/>
        <v/>
      </c>
      <c r="L240" s="57" t="str">
        <f t="shared" si="31"/>
        <v/>
      </c>
      <c r="M240" s="186"/>
      <c r="N240" s="189"/>
      <c r="O240" s="190"/>
      <c r="P240" s="190" t="str">
        <f>IF(OR(ISBLANK(V240),COUNTBLANK(V240:$V$1048576)=ROWS(V240:$V$1048576)),"",$R$2*(1+SUM(V$7:V240)))</f>
        <v/>
      </c>
      <c r="Q240" s="191"/>
      <c r="R240" s="189"/>
      <c r="S240" s="53" t="str">
        <f t="shared" si="25"/>
        <v/>
      </c>
      <c r="T240" s="63" t="str">
        <f t="shared" si="26"/>
        <v/>
      </c>
      <c r="U240" s="64" t="str">
        <f>IF(OR(ISBLANK(Trades!R240), ISBLANK(Trades!H240), ISBLANK(Trades!I240)), "", IF(Trades!H240=Trades!I240, "N/A", (Trades!R240-Trades!H240)/(Trades!H240-Trades!I240)))</f>
        <v/>
      </c>
      <c r="V240" s="65" t="str">
        <f t="shared" si="27"/>
        <v/>
      </c>
      <c r="W240" s="66" t="str">
        <f t="shared" si="28"/>
        <v/>
      </c>
      <c r="X240" s="62" t="str">
        <f t="shared" si="29"/>
        <v/>
      </c>
      <c r="Y240" s="45"/>
      <c r="Z240" s="44"/>
      <c r="AA240" s="41"/>
      <c r="AB240" s="39"/>
      <c r="AC240" s="37" t="str">
        <f t="shared" si="30"/>
        <v/>
      </c>
    </row>
    <row r="241" spans="2:29" x14ac:dyDescent="0.25">
      <c r="B241" s="54">
        <v>235</v>
      </c>
      <c r="C241" s="168"/>
      <c r="D241" s="51"/>
      <c r="E241" s="29"/>
      <c r="F241" s="48"/>
      <c r="G241" s="29"/>
      <c r="H241" s="187"/>
      <c r="I241" s="187"/>
      <c r="J241" s="195"/>
      <c r="K241" s="86" t="str">
        <f t="shared" si="24"/>
        <v/>
      </c>
      <c r="L241" s="57" t="str">
        <f t="shared" si="31"/>
        <v/>
      </c>
      <c r="M241" s="186"/>
      <c r="N241" s="189"/>
      <c r="O241" s="190"/>
      <c r="P241" s="190" t="str">
        <f>IF(OR(ISBLANK(V241),COUNTBLANK(V241:$V$1048576)=ROWS(V241:$V$1048576)),"",$R$2*(1+SUM(V$7:V241)))</f>
        <v/>
      </c>
      <c r="Q241" s="191"/>
      <c r="R241" s="189"/>
      <c r="S241" s="53" t="str">
        <f t="shared" si="25"/>
        <v/>
      </c>
      <c r="T241" s="63" t="str">
        <f t="shared" si="26"/>
        <v/>
      </c>
      <c r="U241" s="64" t="str">
        <f>IF(OR(ISBLANK(Trades!R241), ISBLANK(Trades!H241), ISBLANK(Trades!I241)), "", IF(Trades!H241=Trades!I241, "N/A", (Trades!R241-Trades!H241)/(Trades!H241-Trades!I241)))</f>
        <v/>
      </c>
      <c r="V241" s="65" t="str">
        <f t="shared" si="27"/>
        <v/>
      </c>
      <c r="W241" s="66" t="str">
        <f t="shared" si="28"/>
        <v/>
      </c>
      <c r="X241" s="62" t="str">
        <f t="shared" si="29"/>
        <v/>
      </c>
      <c r="Y241" s="45"/>
      <c r="Z241" s="44"/>
      <c r="AA241" s="41"/>
      <c r="AB241" s="39"/>
      <c r="AC241" s="37" t="str">
        <f t="shared" si="30"/>
        <v/>
      </c>
    </row>
    <row r="242" spans="2:29" x14ac:dyDescent="0.25">
      <c r="B242" s="54">
        <v>236</v>
      </c>
      <c r="C242" s="168"/>
      <c r="D242" s="51"/>
      <c r="E242" s="29"/>
      <c r="F242" s="48"/>
      <c r="G242" s="29"/>
      <c r="H242" s="187"/>
      <c r="I242" s="187"/>
      <c r="J242" s="195"/>
      <c r="K242" s="86" t="str">
        <f t="shared" si="24"/>
        <v/>
      </c>
      <c r="L242" s="57" t="str">
        <f t="shared" si="31"/>
        <v/>
      </c>
      <c r="M242" s="186"/>
      <c r="N242" s="189"/>
      <c r="O242" s="190"/>
      <c r="P242" s="190" t="str">
        <f>IF(OR(ISBLANK(V242),COUNTBLANK(V242:$V$1048576)=ROWS(V242:$V$1048576)),"",$R$2*(1+SUM(V$7:V242)))</f>
        <v/>
      </c>
      <c r="Q242" s="191"/>
      <c r="R242" s="189"/>
      <c r="S242" s="53" t="str">
        <f t="shared" si="25"/>
        <v/>
      </c>
      <c r="T242" s="63" t="str">
        <f t="shared" si="26"/>
        <v/>
      </c>
      <c r="U242" s="64" t="str">
        <f>IF(OR(ISBLANK(Trades!R242), ISBLANK(Trades!H242), ISBLANK(Trades!I242)), "", IF(Trades!H242=Trades!I242, "N/A", (Trades!R242-Trades!H242)/(Trades!H242-Trades!I242)))</f>
        <v/>
      </c>
      <c r="V242" s="65" t="str">
        <f t="shared" si="27"/>
        <v/>
      </c>
      <c r="W242" s="66" t="str">
        <f t="shared" si="28"/>
        <v/>
      </c>
      <c r="X242" s="62" t="str">
        <f t="shared" si="29"/>
        <v/>
      </c>
      <c r="Y242" s="45"/>
      <c r="Z242" s="44"/>
      <c r="AA242" s="41"/>
      <c r="AB242" s="39"/>
      <c r="AC242" s="37" t="str">
        <f t="shared" si="30"/>
        <v/>
      </c>
    </row>
    <row r="243" spans="2:29" x14ac:dyDescent="0.25">
      <c r="B243" s="54">
        <v>237</v>
      </c>
      <c r="C243" s="168"/>
      <c r="D243" s="51"/>
      <c r="E243" s="29"/>
      <c r="F243" s="48"/>
      <c r="G243" s="29"/>
      <c r="H243" s="187"/>
      <c r="I243" s="187"/>
      <c r="J243" s="195"/>
      <c r="K243" s="86" t="str">
        <f t="shared" si="24"/>
        <v/>
      </c>
      <c r="L243" s="57" t="str">
        <f t="shared" si="31"/>
        <v/>
      </c>
      <c r="M243" s="186"/>
      <c r="N243" s="189"/>
      <c r="O243" s="190"/>
      <c r="P243" s="190" t="str">
        <f>IF(OR(ISBLANK(V243),COUNTBLANK(V243:$V$1048576)=ROWS(V243:$V$1048576)),"",$R$2*(1+SUM(V$7:V243)))</f>
        <v/>
      </c>
      <c r="Q243" s="191"/>
      <c r="R243" s="189"/>
      <c r="S243" s="53" t="str">
        <f t="shared" si="25"/>
        <v/>
      </c>
      <c r="T243" s="63" t="str">
        <f t="shared" si="26"/>
        <v/>
      </c>
      <c r="U243" s="64" t="str">
        <f>IF(OR(ISBLANK(Trades!R243), ISBLANK(Trades!H243), ISBLANK(Trades!I243)), "", IF(Trades!H243=Trades!I243, "N/A", (Trades!R243-Trades!H243)/(Trades!H243-Trades!I243)))</f>
        <v/>
      </c>
      <c r="V243" s="65" t="str">
        <f t="shared" si="27"/>
        <v/>
      </c>
      <c r="W243" s="66" t="str">
        <f t="shared" si="28"/>
        <v/>
      </c>
      <c r="X243" s="62" t="str">
        <f t="shared" si="29"/>
        <v/>
      </c>
      <c r="Y243" s="45"/>
      <c r="Z243" s="44"/>
      <c r="AA243" s="41"/>
      <c r="AB243" s="39"/>
      <c r="AC243" s="37" t="str">
        <f t="shared" si="30"/>
        <v/>
      </c>
    </row>
    <row r="244" spans="2:29" x14ac:dyDescent="0.25">
      <c r="B244" s="54">
        <v>238</v>
      </c>
      <c r="C244" s="168"/>
      <c r="D244" s="51"/>
      <c r="E244" s="29"/>
      <c r="F244" s="48"/>
      <c r="G244" s="29"/>
      <c r="H244" s="187"/>
      <c r="I244" s="187"/>
      <c r="J244" s="195"/>
      <c r="K244" s="86" t="str">
        <f t="shared" si="24"/>
        <v/>
      </c>
      <c r="L244" s="57" t="str">
        <f t="shared" si="31"/>
        <v/>
      </c>
      <c r="M244" s="186"/>
      <c r="N244" s="189"/>
      <c r="O244" s="190"/>
      <c r="P244" s="190" t="str">
        <f>IF(OR(ISBLANK(V244),COUNTBLANK(V244:$V$1048576)=ROWS(V244:$V$1048576)),"",$R$2*(1+SUM(V$7:V244)))</f>
        <v/>
      </c>
      <c r="Q244" s="191"/>
      <c r="R244" s="189"/>
      <c r="S244" s="53" t="str">
        <f t="shared" si="25"/>
        <v/>
      </c>
      <c r="T244" s="63" t="str">
        <f t="shared" si="26"/>
        <v/>
      </c>
      <c r="U244" s="64" t="str">
        <f>IF(OR(ISBLANK(Trades!R244), ISBLANK(Trades!H244), ISBLANK(Trades!I244)), "", IF(Trades!H244=Trades!I244, "N/A", (Trades!R244-Trades!H244)/(Trades!H244-Trades!I244)))</f>
        <v/>
      </c>
      <c r="V244" s="65" t="str">
        <f t="shared" si="27"/>
        <v/>
      </c>
      <c r="W244" s="66" t="str">
        <f t="shared" si="28"/>
        <v/>
      </c>
      <c r="X244" s="62" t="str">
        <f t="shared" si="29"/>
        <v/>
      </c>
      <c r="Y244" s="45"/>
      <c r="Z244" s="44"/>
      <c r="AA244" s="41"/>
      <c r="AB244" s="39"/>
      <c r="AC244" s="37" t="str">
        <f t="shared" si="30"/>
        <v/>
      </c>
    </row>
    <row r="245" spans="2:29" x14ac:dyDescent="0.25">
      <c r="B245" s="54">
        <v>239</v>
      </c>
      <c r="C245" s="168"/>
      <c r="D245" s="51"/>
      <c r="E245" s="29"/>
      <c r="F245" s="48"/>
      <c r="G245" s="29"/>
      <c r="H245" s="187"/>
      <c r="I245" s="187"/>
      <c r="J245" s="195"/>
      <c r="K245" s="86" t="str">
        <f t="shared" si="24"/>
        <v/>
      </c>
      <c r="L245" s="57" t="str">
        <f t="shared" si="31"/>
        <v/>
      </c>
      <c r="M245" s="186"/>
      <c r="N245" s="189"/>
      <c r="O245" s="190"/>
      <c r="P245" s="190" t="str">
        <f>IF(OR(ISBLANK(V245),COUNTBLANK(V245:$V$1048576)=ROWS(V245:$V$1048576)),"",$R$2*(1+SUM(V$7:V245)))</f>
        <v/>
      </c>
      <c r="Q245" s="191"/>
      <c r="R245" s="189"/>
      <c r="S245" s="53" t="str">
        <f t="shared" si="25"/>
        <v/>
      </c>
      <c r="T245" s="63" t="str">
        <f t="shared" si="26"/>
        <v/>
      </c>
      <c r="U245" s="64" t="str">
        <f>IF(OR(ISBLANK(Trades!R245), ISBLANK(Trades!H245), ISBLANK(Trades!I245)), "", IF(Trades!H245=Trades!I245, "N/A", (Trades!R245-Trades!H245)/(Trades!H245-Trades!I245)))</f>
        <v/>
      </c>
      <c r="V245" s="65" t="str">
        <f t="shared" si="27"/>
        <v/>
      </c>
      <c r="W245" s="66" t="str">
        <f t="shared" si="28"/>
        <v/>
      </c>
      <c r="X245" s="62" t="str">
        <f t="shared" si="29"/>
        <v/>
      </c>
      <c r="Y245" s="45"/>
      <c r="Z245" s="44"/>
      <c r="AA245" s="41"/>
      <c r="AB245" s="39"/>
      <c r="AC245" s="37" t="str">
        <f t="shared" si="30"/>
        <v/>
      </c>
    </row>
    <row r="246" spans="2:29" x14ac:dyDescent="0.25">
      <c r="B246" s="54">
        <v>240</v>
      </c>
      <c r="C246" s="168"/>
      <c r="D246" s="51"/>
      <c r="E246" s="29"/>
      <c r="F246" s="48"/>
      <c r="G246" s="29"/>
      <c r="H246" s="187"/>
      <c r="I246" s="187"/>
      <c r="J246" s="195"/>
      <c r="K246" s="86" t="str">
        <f t="shared" si="24"/>
        <v/>
      </c>
      <c r="L246" s="57" t="str">
        <f t="shared" si="31"/>
        <v/>
      </c>
      <c r="M246" s="186"/>
      <c r="N246" s="189"/>
      <c r="O246" s="190"/>
      <c r="P246" s="190" t="str">
        <f>IF(OR(ISBLANK(V246),COUNTBLANK(V246:$V$1048576)=ROWS(V246:$V$1048576)),"",$R$2*(1+SUM(V$7:V246)))</f>
        <v/>
      </c>
      <c r="Q246" s="191"/>
      <c r="R246" s="189"/>
      <c r="S246" s="53" t="str">
        <f t="shared" si="25"/>
        <v/>
      </c>
      <c r="T246" s="63" t="str">
        <f t="shared" si="26"/>
        <v/>
      </c>
      <c r="U246" s="64" t="str">
        <f>IF(OR(ISBLANK(Trades!R246), ISBLANK(Trades!H246), ISBLANK(Trades!I246)), "", IF(Trades!H246=Trades!I246, "N/A", (Trades!R246-Trades!H246)/(Trades!H246-Trades!I246)))</f>
        <v/>
      </c>
      <c r="V246" s="65" t="str">
        <f t="shared" si="27"/>
        <v/>
      </c>
      <c r="W246" s="66" t="str">
        <f t="shared" si="28"/>
        <v/>
      </c>
      <c r="X246" s="62" t="str">
        <f t="shared" si="29"/>
        <v/>
      </c>
      <c r="Y246" s="45"/>
      <c r="Z246" s="44"/>
      <c r="AA246" s="41"/>
      <c r="AB246" s="39"/>
      <c r="AC246" s="37" t="str">
        <f t="shared" si="30"/>
        <v/>
      </c>
    </row>
    <row r="247" spans="2:29" x14ac:dyDescent="0.25">
      <c r="B247" s="54">
        <v>241</v>
      </c>
      <c r="C247" s="168"/>
      <c r="D247" s="51"/>
      <c r="E247" s="29"/>
      <c r="F247" s="48"/>
      <c r="G247" s="29"/>
      <c r="H247" s="187"/>
      <c r="I247" s="187"/>
      <c r="J247" s="195"/>
      <c r="K247" s="86" t="str">
        <f t="shared" si="24"/>
        <v/>
      </c>
      <c r="L247" s="57" t="str">
        <f t="shared" si="31"/>
        <v/>
      </c>
      <c r="M247" s="186"/>
      <c r="N247" s="189"/>
      <c r="O247" s="190"/>
      <c r="P247" s="190" t="str">
        <f>IF(OR(ISBLANK(V247),COUNTBLANK(V247:$V$1048576)=ROWS(V247:$V$1048576)),"",$R$2*(1+SUM(V$7:V247)))</f>
        <v/>
      </c>
      <c r="Q247" s="191"/>
      <c r="R247" s="189"/>
      <c r="S247" s="53" t="str">
        <f t="shared" si="25"/>
        <v/>
      </c>
      <c r="T247" s="63" t="str">
        <f t="shared" si="26"/>
        <v/>
      </c>
      <c r="U247" s="64" t="str">
        <f>IF(OR(ISBLANK(Trades!R247), ISBLANK(Trades!H247), ISBLANK(Trades!I247)), "", IF(Trades!H247=Trades!I247, "N/A", (Trades!R247-Trades!H247)/(Trades!H247-Trades!I247)))</f>
        <v/>
      </c>
      <c r="V247" s="65" t="str">
        <f t="shared" si="27"/>
        <v/>
      </c>
      <c r="W247" s="66" t="str">
        <f t="shared" si="28"/>
        <v/>
      </c>
      <c r="X247" s="62" t="str">
        <f t="shared" si="29"/>
        <v/>
      </c>
      <c r="Y247" s="45"/>
      <c r="Z247" s="44"/>
      <c r="AA247" s="41"/>
      <c r="AB247" s="39"/>
      <c r="AC247" s="37" t="str">
        <f t="shared" si="30"/>
        <v/>
      </c>
    </row>
    <row r="248" spans="2:29" x14ac:dyDescent="0.25">
      <c r="B248" s="54">
        <v>242</v>
      </c>
      <c r="C248" s="168"/>
      <c r="D248" s="51"/>
      <c r="E248" s="29"/>
      <c r="F248" s="48"/>
      <c r="G248" s="29"/>
      <c r="H248" s="187"/>
      <c r="I248" s="187"/>
      <c r="J248" s="195"/>
      <c r="K248" s="86" t="str">
        <f t="shared" si="24"/>
        <v/>
      </c>
      <c r="L248" s="57" t="str">
        <f t="shared" si="31"/>
        <v/>
      </c>
      <c r="M248" s="186"/>
      <c r="N248" s="189"/>
      <c r="O248" s="190"/>
      <c r="P248" s="190" t="str">
        <f>IF(OR(ISBLANK(V248),COUNTBLANK(V248:$V$1048576)=ROWS(V248:$V$1048576)),"",$R$2*(1+SUM(V$7:V248)))</f>
        <v/>
      </c>
      <c r="Q248" s="191"/>
      <c r="R248" s="189"/>
      <c r="S248" s="53" t="str">
        <f t="shared" si="25"/>
        <v/>
      </c>
      <c r="T248" s="63" t="str">
        <f t="shared" si="26"/>
        <v/>
      </c>
      <c r="U248" s="64" t="str">
        <f>IF(OR(ISBLANK(Trades!R248), ISBLANK(Trades!H248), ISBLANK(Trades!I248)), "", IF(Trades!H248=Trades!I248, "N/A", (Trades!R248-Trades!H248)/(Trades!H248-Trades!I248)))</f>
        <v/>
      </c>
      <c r="V248" s="65" t="str">
        <f t="shared" si="27"/>
        <v/>
      </c>
      <c r="W248" s="66" t="str">
        <f t="shared" si="28"/>
        <v/>
      </c>
      <c r="X248" s="62" t="str">
        <f t="shared" si="29"/>
        <v/>
      </c>
      <c r="Y248" s="45"/>
      <c r="Z248" s="44"/>
      <c r="AA248" s="41"/>
      <c r="AB248" s="39"/>
      <c r="AC248" s="37" t="str">
        <f t="shared" si="30"/>
        <v/>
      </c>
    </row>
    <row r="249" spans="2:29" x14ac:dyDescent="0.25">
      <c r="B249" s="54">
        <v>243</v>
      </c>
      <c r="C249" s="168"/>
      <c r="D249" s="51"/>
      <c r="E249" s="29"/>
      <c r="F249" s="48"/>
      <c r="G249" s="29"/>
      <c r="H249" s="187"/>
      <c r="I249" s="187"/>
      <c r="J249" s="195"/>
      <c r="K249" s="86" t="str">
        <f t="shared" si="24"/>
        <v/>
      </c>
      <c r="L249" s="57" t="str">
        <f t="shared" si="31"/>
        <v/>
      </c>
      <c r="M249" s="186"/>
      <c r="N249" s="189"/>
      <c r="O249" s="190"/>
      <c r="P249" s="190" t="str">
        <f>IF(OR(ISBLANK(V249),COUNTBLANK(V249:$V$1048576)=ROWS(V249:$V$1048576)),"",$R$2*(1+SUM(V$7:V249)))</f>
        <v/>
      </c>
      <c r="Q249" s="191"/>
      <c r="R249" s="189"/>
      <c r="S249" s="53" t="str">
        <f t="shared" si="25"/>
        <v/>
      </c>
      <c r="T249" s="63" t="str">
        <f t="shared" si="26"/>
        <v/>
      </c>
      <c r="U249" s="64" t="str">
        <f>IF(OR(ISBLANK(Trades!R249), ISBLANK(Trades!H249), ISBLANK(Trades!I249)), "", IF(Trades!H249=Trades!I249, "N/A", (Trades!R249-Trades!H249)/(Trades!H249-Trades!I249)))</f>
        <v/>
      </c>
      <c r="V249" s="65" t="str">
        <f t="shared" si="27"/>
        <v/>
      </c>
      <c r="W249" s="66" t="str">
        <f t="shared" si="28"/>
        <v/>
      </c>
      <c r="X249" s="62" t="str">
        <f t="shared" si="29"/>
        <v/>
      </c>
      <c r="Y249" s="45"/>
      <c r="Z249" s="44"/>
      <c r="AA249" s="41"/>
      <c r="AB249" s="39"/>
      <c r="AC249" s="37" t="str">
        <f t="shared" si="30"/>
        <v/>
      </c>
    </row>
    <row r="250" spans="2:29" x14ac:dyDescent="0.25">
      <c r="B250" s="54">
        <v>244</v>
      </c>
      <c r="C250" s="168"/>
      <c r="D250" s="51"/>
      <c r="E250" s="29"/>
      <c r="F250" s="48"/>
      <c r="G250" s="29"/>
      <c r="H250" s="187"/>
      <c r="I250" s="187"/>
      <c r="J250" s="195"/>
      <c r="K250" s="86" t="str">
        <f t="shared" si="24"/>
        <v/>
      </c>
      <c r="L250" s="57" t="str">
        <f t="shared" si="31"/>
        <v/>
      </c>
      <c r="M250" s="186"/>
      <c r="N250" s="189"/>
      <c r="O250" s="190"/>
      <c r="P250" s="190" t="str">
        <f>IF(OR(ISBLANK(V250),COUNTBLANK(V250:$V$1048576)=ROWS(V250:$V$1048576)),"",$R$2*(1+SUM(V$7:V250)))</f>
        <v/>
      </c>
      <c r="Q250" s="191"/>
      <c r="R250" s="189"/>
      <c r="S250" s="53" t="str">
        <f t="shared" si="25"/>
        <v/>
      </c>
      <c r="T250" s="63" t="str">
        <f t="shared" si="26"/>
        <v/>
      </c>
      <c r="U250" s="64" t="str">
        <f>IF(OR(ISBLANK(Trades!R250), ISBLANK(Trades!H250), ISBLANK(Trades!I250)), "", IF(Trades!H250=Trades!I250, "N/A", (Trades!R250-Trades!H250)/(Trades!H250-Trades!I250)))</f>
        <v/>
      </c>
      <c r="V250" s="65" t="str">
        <f t="shared" si="27"/>
        <v/>
      </c>
      <c r="W250" s="66" t="str">
        <f t="shared" si="28"/>
        <v/>
      </c>
      <c r="X250" s="62" t="str">
        <f t="shared" si="29"/>
        <v/>
      </c>
      <c r="Y250" s="45"/>
      <c r="Z250" s="44"/>
      <c r="AA250" s="41"/>
      <c r="AB250" s="39"/>
      <c r="AC250" s="37" t="str">
        <f t="shared" si="30"/>
        <v/>
      </c>
    </row>
    <row r="251" spans="2:29" x14ac:dyDescent="0.25">
      <c r="B251" s="54">
        <v>245</v>
      </c>
      <c r="C251" s="168"/>
      <c r="D251" s="51"/>
      <c r="E251" s="29"/>
      <c r="F251" s="48"/>
      <c r="G251" s="29"/>
      <c r="H251" s="187"/>
      <c r="I251" s="187"/>
      <c r="J251" s="195"/>
      <c r="K251" s="86" t="str">
        <f t="shared" si="24"/>
        <v/>
      </c>
      <c r="L251" s="57" t="str">
        <f t="shared" si="31"/>
        <v/>
      </c>
      <c r="M251" s="186"/>
      <c r="N251" s="189"/>
      <c r="O251" s="190"/>
      <c r="P251" s="190" t="str">
        <f>IF(OR(ISBLANK(V251),COUNTBLANK(V251:$V$1048576)=ROWS(V251:$V$1048576)),"",$R$2*(1+SUM(V$7:V251)))</f>
        <v/>
      </c>
      <c r="Q251" s="191"/>
      <c r="R251" s="189"/>
      <c r="S251" s="53" t="str">
        <f t="shared" si="25"/>
        <v/>
      </c>
      <c r="T251" s="63" t="str">
        <f t="shared" si="26"/>
        <v/>
      </c>
      <c r="U251" s="64" t="str">
        <f>IF(OR(ISBLANK(Trades!R251), ISBLANK(Trades!H251), ISBLANK(Trades!I251)), "", IF(Trades!H251=Trades!I251, "N/A", (Trades!R251-Trades!H251)/(Trades!H251-Trades!I251)))</f>
        <v/>
      </c>
      <c r="V251" s="65" t="str">
        <f t="shared" si="27"/>
        <v/>
      </c>
      <c r="W251" s="66" t="str">
        <f t="shared" si="28"/>
        <v/>
      </c>
      <c r="X251" s="62" t="str">
        <f t="shared" si="29"/>
        <v/>
      </c>
      <c r="Y251" s="45"/>
      <c r="Z251" s="44"/>
      <c r="AA251" s="41"/>
      <c r="AB251" s="39"/>
      <c r="AC251" s="37" t="str">
        <f t="shared" si="30"/>
        <v/>
      </c>
    </row>
    <row r="252" spans="2:29" x14ac:dyDescent="0.25">
      <c r="B252" s="54">
        <v>246</v>
      </c>
      <c r="C252" s="168"/>
      <c r="D252" s="51"/>
      <c r="E252" s="29"/>
      <c r="F252" s="48"/>
      <c r="G252" s="29"/>
      <c r="H252" s="187"/>
      <c r="I252" s="187"/>
      <c r="J252" s="195"/>
      <c r="K252" s="86" t="str">
        <f t="shared" si="24"/>
        <v/>
      </c>
      <c r="L252" s="57" t="str">
        <f t="shared" si="31"/>
        <v/>
      </c>
      <c r="M252" s="186"/>
      <c r="N252" s="189"/>
      <c r="O252" s="190"/>
      <c r="P252" s="190" t="str">
        <f>IF(OR(ISBLANK(V252),COUNTBLANK(V252:$V$1048576)=ROWS(V252:$V$1048576)),"",$R$2*(1+SUM(V$7:V252)))</f>
        <v/>
      </c>
      <c r="Q252" s="191"/>
      <c r="R252" s="189"/>
      <c r="S252" s="53" t="str">
        <f t="shared" si="25"/>
        <v/>
      </c>
      <c r="T252" s="63" t="str">
        <f t="shared" si="26"/>
        <v/>
      </c>
      <c r="U252" s="64" t="str">
        <f>IF(OR(ISBLANK(Trades!R252), ISBLANK(Trades!H252), ISBLANK(Trades!I252)), "", IF(Trades!H252=Trades!I252, "N/A", (Trades!R252-Trades!H252)/(Trades!H252-Trades!I252)))</f>
        <v/>
      </c>
      <c r="V252" s="65" t="str">
        <f t="shared" si="27"/>
        <v/>
      </c>
      <c r="W252" s="66" t="str">
        <f t="shared" si="28"/>
        <v/>
      </c>
      <c r="X252" s="62" t="str">
        <f t="shared" si="29"/>
        <v/>
      </c>
      <c r="Y252" s="45"/>
      <c r="Z252" s="44"/>
      <c r="AA252" s="41"/>
      <c r="AB252" s="39"/>
      <c r="AC252" s="37" t="str">
        <f t="shared" si="30"/>
        <v/>
      </c>
    </row>
    <row r="253" spans="2:29" x14ac:dyDescent="0.25">
      <c r="B253" s="54">
        <v>247</v>
      </c>
      <c r="C253" s="168"/>
      <c r="D253" s="51"/>
      <c r="E253" s="29"/>
      <c r="F253" s="48"/>
      <c r="G253" s="29"/>
      <c r="H253" s="187"/>
      <c r="I253" s="187"/>
      <c r="J253" s="195"/>
      <c r="K253" s="86" t="str">
        <f t="shared" si="24"/>
        <v/>
      </c>
      <c r="L253" s="57" t="str">
        <f t="shared" si="31"/>
        <v/>
      </c>
      <c r="M253" s="186"/>
      <c r="N253" s="189"/>
      <c r="O253" s="190"/>
      <c r="P253" s="190" t="str">
        <f>IF(OR(ISBLANK(V253),COUNTBLANK(V253:$V$1048576)=ROWS(V253:$V$1048576)),"",$R$2*(1+SUM(V$7:V253)))</f>
        <v/>
      </c>
      <c r="Q253" s="191"/>
      <c r="R253" s="189"/>
      <c r="S253" s="53" t="str">
        <f t="shared" si="25"/>
        <v/>
      </c>
      <c r="T253" s="63" t="str">
        <f t="shared" si="26"/>
        <v/>
      </c>
      <c r="U253" s="64" t="str">
        <f>IF(OR(ISBLANK(Trades!R253), ISBLANK(Trades!H253), ISBLANK(Trades!I253)), "", IF(Trades!H253=Trades!I253, "N/A", (Trades!R253-Trades!H253)/(Trades!H253-Trades!I253)))</f>
        <v/>
      </c>
      <c r="V253" s="65" t="str">
        <f t="shared" si="27"/>
        <v/>
      </c>
      <c r="W253" s="66" t="str">
        <f t="shared" si="28"/>
        <v/>
      </c>
      <c r="X253" s="62" t="str">
        <f t="shared" si="29"/>
        <v/>
      </c>
      <c r="Y253" s="45"/>
      <c r="Z253" s="44"/>
      <c r="AA253" s="41"/>
      <c r="AB253" s="39"/>
      <c r="AC253" s="37" t="str">
        <f t="shared" si="30"/>
        <v/>
      </c>
    </row>
    <row r="254" spans="2:29" x14ac:dyDescent="0.25">
      <c r="B254" s="54">
        <v>248</v>
      </c>
      <c r="C254" s="168"/>
      <c r="D254" s="51"/>
      <c r="E254" s="29"/>
      <c r="F254" s="48"/>
      <c r="G254" s="29"/>
      <c r="H254" s="187"/>
      <c r="I254" s="187"/>
      <c r="J254" s="195"/>
      <c r="K254" s="86" t="str">
        <f t="shared" si="24"/>
        <v/>
      </c>
      <c r="L254" s="57" t="str">
        <f t="shared" si="31"/>
        <v/>
      </c>
      <c r="M254" s="186"/>
      <c r="N254" s="189"/>
      <c r="O254" s="190"/>
      <c r="P254" s="190" t="str">
        <f>IF(OR(ISBLANK(V254),COUNTBLANK(V254:$V$1048576)=ROWS(V254:$V$1048576)),"",$R$2*(1+SUM(V$7:V254)))</f>
        <v/>
      </c>
      <c r="Q254" s="191"/>
      <c r="R254" s="189"/>
      <c r="S254" s="53" t="str">
        <f t="shared" si="25"/>
        <v/>
      </c>
      <c r="T254" s="63" t="str">
        <f t="shared" si="26"/>
        <v/>
      </c>
      <c r="U254" s="64" t="str">
        <f>IF(OR(ISBLANK(Trades!R254), ISBLANK(Trades!H254), ISBLANK(Trades!I254)), "", IF(Trades!H254=Trades!I254, "N/A", (Trades!R254-Trades!H254)/(Trades!H254-Trades!I254)))</f>
        <v/>
      </c>
      <c r="V254" s="65" t="str">
        <f t="shared" si="27"/>
        <v/>
      </c>
      <c r="W254" s="66" t="str">
        <f t="shared" si="28"/>
        <v/>
      </c>
      <c r="X254" s="62" t="str">
        <f t="shared" si="29"/>
        <v/>
      </c>
      <c r="Y254" s="45"/>
      <c r="Z254" s="44"/>
      <c r="AA254" s="41"/>
      <c r="AB254" s="39"/>
      <c r="AC254" s="37" t="str">
        <f t="shared" si="30"/>
        <v/>
      </c>
    </row>
    <row r="255" spans="2:29" x14ac:dyDescent="0.25">
      <c r="B255" s="54">
        <v>249</v>
      </c>
      <c r="C255" s="168"/>
      <c r="D255" s="51"/>
      <c r="E255" s="29"/>
      <c r="F255" s="48"/>
      <c r="G255" s="29"/>
      <c r="H255" s="187"/>
      <c r="I255" s="187"/>
      <c r="J255" s="195"/>
      <c r="K255" s="86" t="str">
        <f t="shared" si="24"/>
        <v/>
      </c>
      <c r="L255" s="57" t="str">
        <f t="shared" si="31"/>
        <v/>
      </c>
      <c r="M255" s="186"/>
      <c r="N255" s="189"/>
      <c r="O255" s="190"/>
      <c r="P255" s="190" t="str">
        <f>IF(OR(ISBLANK(V255),COUNTBLANK(V255:$V$1048576)=ROWS(V255:$V$1048576)),"",$R$2*(1+SUM(V$7:V255)))</f>
        <v/>
      </c>
      <c r="Q255" s="191"/>
      <c r="R255" s="189"/>
      <c r="S255" s="53" t="str">
        <f t="shared" si="25"/>
        <v/>
      </c>
      <c r="T255" s="63" t="str">
        <f t="shared" si="26"/>
        <v/>
      </c>
      <c r="U255" s="64" t="str">
        <f>IF(OR(ISBLANK(Trades!R255), ISBLANK(Trades!H255), ISBLANK(Trades!I255)), "", IF(Trades!H255=Trades!I255, "N/A", (Trades!R255-Trades!H255)/(Trades!H255-Trades!I255)))</f>
        <v/>
      </c>
      <c r="V255" s="65" t="str">
        <f t="shared" si="27"/>
        <v/>
      </c>
      <c r="W255" s="66" t="str">
        <f t="shared" si="28"/>
        <v/>
      </c>
      <c r="X255" s="62" t="str">
        <f t="shared" si="29"/>
        <v/>
      </c>
      <c r="Y255" s="45"/>
      <c r="Z255" s="44"/>
      <c r="AA255" s="41"/>
      <c r="AB255" s="39"/>
      <c r="AC255" s="37" t="str">
        <f t="shared" si="30"/>
        <v/>
      </c>
    </row>
    <row r="256" spans="2:29" x14ac:dyDescent="0.25">
      <c r="B256" s="54">
        <v>250</v>
      </c>
      <c r="C256" s="168"/>
      <c r="D256" s="51"/>
      <c r="E256" s="29"/>
      <c r="F256" s="48"/>
      <c r="G256" s="29"/>
      <c r="H256" s="187"/>
      <c r="I256" s="187"/>
      <c r="J256" s="195"/>
      <c r="K256" s="86" t="str">
        <f t="shared" si="24"/>
        <v/>
      </c>
      <c r="L256" s="57" t="str">
        <f t="shared" si="31"/>
        <v/>
      </c>
      <c r="M256" s="186"/>
      <c r="N256" s="189"/>
      <c r="O256" s="190"/>
      <c r="P256" s="190" t="str">
        <f>IF(OR(ISBLANK(V256),COUNTBLANK(V256:$V$1048576)=ROWS(V256:$V$1048576)),"",$R$2*(1+SUM(V$7:V256)))</f>
        <v/>
      </c>
      <c r="Q256" s="191"/>
      <c r="R256" s="189"/>
      <c r="S256" s="53" t="str">
        <f t="shared" si="25"/>
        <v/>
      </c>
      <c r="T256" s="63" t="str">
        <f t="shared" si="26"/>
        <v/>
      </c>
      <c r="U256" s="64" t="str">
        <f>IF(OR(ISBLANK(Trades!R256), ISBLANK(Trades!H256), ISBLANK(Trades!I256)), "", IF(Trades!H256=Trades!I256, "N/A", (Trades!R256-Trades!H256)/(Trades!H256-Trades!I256)))</f>
        <v/>
      </c>
      <c r="V256" s="65" t="str">
        <f t="shared" si="27"/>
        <v/>
      </c>
      <c r="W256" s="66" t="str">
        <f t="shared" si="28"/>
        <v/>
      </c>
      <c r="X256" s="62" t="str">
        <f t="shared" si="29"/>
        <v/>
      </c>
      <c r="Y256" s="45"/>
      <c r="Z256" s="44"/>
      <c r="AA256" s="41"/>
      <c r="AB256" s="39"/>
      <c r="AC256" s="37" t="str">
        <f t="shared" si="30"/>
        <v/>
      </c>
    </row>
    <row r="257" spans="2:29" x14ac:dyDescent="0.25">
      <c r="B257" s="54">
        <v>251</v>
      </c>
      <c r="C257" s="168"/>
      <c r="D257" s="51"/>
      <c r="E257" s="29"/>
      <c r="F257" s="48"/>
      <c r="G257" s="29"/>
      <c r="H257" s="187"/>
      <c r="I257" s="187"/>
      <c r="J257" s="195"/>
      <c r="K257" s="86" t="str">
        <f t="shared" si="24"/>
        <v/>
      </c>
      <c r="L257" s="57" t="str">
        <f t="shared" si="31"/>
        <v/>
      </c>
      <c r="M257" s="186"/>
      <c r="N257" s="189"/>
      <c r="O257" s="190"/>
      <c r="P257" s="190" t="str">
        <f>IF(OR(ISBLANK(V257),COUNTBLANK(V257:$V$1048576)=ROWS(V257:$V$1048576)),"",$R$2*(1+SUM(V$7:V257)))</f>
        <v/>
      </c>
      <c r="Q257" s="191"/>
      <c r="R257" s="189"/>
      <c r="S257" s="53" t="str">
        <f t="shared" si="25"/>
        <v/>
      </c>
      <c r="T257" s="63" t="str">
        <f t="shared" si="26"/>
        <v/>
      </c>
      <c r="U257" s="64" t="str">
        <f>IF(OR(ISBLANK(Trades!R257), ISBLANK(Trades!H257), ISBLANK(Trades!I257)), "", IF(Trades!H257=Trades!I257, "N/A", (Trades!R257-Trades!H257)/(Trades!H257-Trades!I257)))</f>
        <v/>
      </c>
      <c r="V257" s="65" t="str">
        <f t="shared" si="27"/>
        <v/>
      </c>
      <c r="W257" s="66" t="str">
        <f t="shared" si="28"/>
        <v/>
      </c>
      <c r="X257" s="62" t="str">
        <f t="shared" si="29"/>
        <v/>
      </c>
      <c r="Y257" s="45"/>
      <c r="Z257" s="44"/>
      <c r="AA257" s="41"/>
      <c r="AB257" s="39"/>
      <c r="AC257" s="37" t="str">
        <f t="shared" si="30"/>
        <v/>
      </c>
    </row>
    <row r="258" spans="2:29" x14ac:dyDescent="0.25">
      <c r="B258" s="54">
        <v>252</v>
      </c>
      <c r="C258" s="168"/>
      <c r="D258" s="51"/>
      <c r="E258" s="29"/>
      <c r="F258" s="48"/>
      <c r="G258" s="29"/>
      <c r="H258" s="187"/>
      <c r="I258" s="187"/>
      <c r="J258" s="195"/>
      <c r="K258" s="86" t="str">
        <f t="shared" si="24"/>
        <v/>
      </c>
      <c r="L258" s="57" t="str">
        <f t="shared" si="31"/>
        <v/>
      </c>
      <c r="M258" s="186"/>
      <c r="N258" s="189"/>
      <c r="O258" s="190"/>
      <c r="P258" s="190" t="str">
        <f>IF(OR(ISBLANK(V258),COUNTBLANK(V258:$V$1048576)=ROWS(V258:$V$1048576)),"",$R$2*(1+SUM(V$7:V258)))</f>
        <v/>
      </c>
      <c r="Q258" s="191"/>
      <c r="R258" s="189"/>
      <c r="S258" s="53" t="str">
        <f t="shared" si="25"/>
        <v/>
      </c>
      <c r="T258" s="63" t="str">
        <f t="shared" si="26"/>
        <v/>
      </c>
      <c r="U258" s="64" t="str">
        <f>IF(OR(ISBLANK(Trades!R258), ISBLANK(Trades!H258), ISBLANK(Trades!I258)), "", IF(Trades!H258=Trades!I258, "N/A", (Trades!R258-Trades!H258)/(Trades!H258-Trades!I258)))</f>
        <v/>
      </c>
      <c r="V258" s="65" t="str">
        <f t="shared" si="27"/>
        <v/>
      </c>
      <c r="W258" s="66" t="str">
        <f t="shared" si="28"/>
        <v/>
      </c>
      <c r="X258" s="62" t="str">
        <f t="shared" si="29"/>
        <v/>
      </c>
      <c r="Y258" s="45"/>
      <c r="Z258" s="44"/>
      <c r="AA258" s="41"/>
      <c r="AB258" s="39"/>
      <c r="AC258" s="37" t="str">
        <f t="shared" si="30"/>
        <v/>
      </c>
    </row>
    <row r="259" spans="2:29" x14ac:dyDescent="0.25">
      <c r="B259" s="54">
        <v>253</v>
      </c>
      <c r="C259" s="168"/>
      <c r="D259" s="51"/>
      <c r="E259" s="29"/>
      <c r="F259" s="48"/>
      <c r="G259" s="29"/>
      <c r="H259" s="187"/>
      <c r="I259" s="187"/>
      <c r="J259" s="195"/>
      <c r="K259" s="86" t="str">
        <f t="shared" si="24"/>
        <v/>
      </c>
      <c r="L259" s="57" t="str">
        <f t="shared" si="31"/>
        <v/>
      </c>
      <c r="M259" s="186"/>
      <c r="N259" s="189"/>
      <c r="O259" s="190"/>
      <c r="P259" s="190" t="str">
        <f>IF(OR(ISBLANK(V259),COUNTBLANK(V259:$V$1048576)=ROWS(V259:$V$1048576)),"",$R$2*(1+SUM(V$7:V259)))</f>
        <v/>
      </c>
      <c r="Q259" s="191"/>
      <c r="R259" s="189"/>
      <c r="S259" s="53" t="str">
        <f t="shared" si="25"/>
        <v/>
      </c>
      <c r="T259" s="63" t="str">
        <f t="shared" si="26"/>
        <v/>
      </c>
      <c r="U259" s="64" t="str">
        <f>IF(OR(ISBLANK(Trades!R259), ISBLANK(Trades!H259), ISBLANK(Trades!I259)), "", IF(Trades!H259=Trades!I259, "N/A", (Trades!R259-Trades!H259)/(Trades!H259-Trades!I259)))</f>
        <v/>
      </c>
      <c r="V259" s="65" t="str">
        <f t="shared" si="27"/>
        <v/>
      </c>
      <c r="W259" s="66" t="str">
        <f t="shared" si="28"/>
        <v/>
      </c>
      <c r="X259" s="62" t="str">
        <f t="shared" si="29"/>
        <v/>
      </c>
      <c r="Y259" s="45"/>
      <c r="Z259" s="44"/>
      <c r="AA259" s="41"/>
      <c r="AB259" s="39"/>
      <c r="AC259" s="37" t="str">
        <f t="shared" si="30"/>
        <v/>
      </c>
    </row>
    <row r="260" spans="2:29" x14ac:dyDescent="0.25">
      <c r="B260" s="54">
        <v>254</v>
      </c>
      <c r="C260" s="168"/>
      <c r="D260" s="51"/>
      <c r="E260" s="29"/>
      <c r="F260" s="48"/>
      <c r="G260" s="29"/>
      <c r="H260" s="187"/>
      <c r="I260" s="187"/>
      <c r="J260" s="195"/>
      <c r="K260" s="86" t="str">
        <f t="shared" si="24"/>
        <v/>
      </c>
      <c r="L260" s="57" t="str">
        <f t="shared" si="31"/>
        <v/>
      </c>
      <c r="M260" s="186"/>
      <c r="N260" s="189"/>
      <c r="O260" s="190"/>
      <c r="P260" s="190" t="str">
        <f>IF(OR(ISBLANK(V260),COUNTBLANK(V260:$V$1048576)=ROWS(V260:$V$1048576)),"",$R$2*(1+SUM(V$7:V260)))</f>
        <v/>
      </c>
      <c r="Q260" s="191"/>
      <c r="R260" s="189"/>
      <c r="S260" s="53" t="str">
        <f t="shared" si="25"/>
        <v/>
      </c>
      <c r="T260" s="63" t="str">
        <f t="shared" si="26"/>
        <v/>
      </c>
      <c r="U260" s="64" t="str">
        <f>IF(OR(ISBLANK(Trades!R260), ISBLANK(Trades!H260), ISBLANK(Trades!I260)), "", IF(Trades!H260=Trades!I260, "N/A", (Trades!R260-Trades!H260)/(Trades!H260-Trades!I260)))</f>
        <v/>
      </c>
      <c r="V260" s="65" t="str">
        <f t="shared" si="27"/>
        <v/>
      </c>
      <c r="W260" s="66" t="str">
        <f t="shared" si="28"/>
        <v/>
      </c>
      <c r="X260" s="62" t="str">
        <f t="shared" si="29"/>
        <v/>
      </c>
      <c r="Y260" s="45"/>
      <c r="Z260" s="44"/>
      <c r="AA260" s="41"/>
      <c r="AB260" s="39"/>
      <c r="AC260" s="37" t="str">
        <f t="shared" si="30"/>
        <v/>
      </c>
    </row>
    <row r="261" spans="2:29" x14ac:dyDescent="0.25">
      <c r="B261" s="54">
        <v>255</v>
      </c>
      <c r="C261" s="168"/>
      <c r="D261" s="51"/>
      <c r="E261" s="29"/>
      <c r="F261" s="48"/>
      <c r="G261" s="29"/>
      <c r="H261" s="187"/>
      <c r="I261" s="187"/>
      <c r="J261" s="195"/>
      <c r="K261" s="86" t="str">
        <f t="shared" si="24"/>
        <v/>
      </c>
      <c r="L261" s="57" t="str">
        <f t="shared" si="31"/>
        <v/>
      </c>
      <c r="M261" s="186"/>
      <c r="N261" s="189"/>
      <c r="O261" s="190"/>
      <c r="P261" s="190" t="str">
        <f>IF(OR(ISBLANK(V261),COUNTBLANK(V261:$V$1048576)=ROWS(V261:$V$1048576)),"",$R$2*(1+SUM(V$7:V261)))</f>
        <v/>
      </c>
      <c r="Q261" s="191"/>
      <c r="R261" s="189"/>
      <c r="S261" s="53" t="str">
        <f t="shared" si="25"/>
        <v/>
      </c>
      <c r="T261" s="63" t="str">
        <f t="shared" si="26"/>
        <v/>
      </c>
      <c r="U261" s="64" t="str">
        <f>IF(OR(ISBLANK(Trades!R261), ISBLANK(Trades!H261), ISBLANK(Trades!I261)), "", IF(Trades!H261=Trades!I261, "N/A", (Trades!R261-Trades!H261)/(Trades!H261-Trades!I261)))</f>
        <v/>
      </c>
      <c r="V261" s="65" t="str">
        <f t="shared" si="27"/>
        <v/>
      </c>
      <c r="W261" s="66" t="str">
        <f t="shared" si="28"/>
        <v/>
      </c>
      <c r="X261" s="62" t="str">
        <f t="shared" si="29"/>
        <v/>
      </c>
      <c r="Y261" s="45"/>
      <c r="Z261" s="44"/>
      <c r="AA261" s="41"/>
      <c r="AB261" s="39"/>
      <c r="AC261" s="37" t="str">
        <f t="shared" si="30"/>
        <v/>
      </c>
    </row>
    <row r="262" spans="2:29" x14ac:dyDescent="0.25">
      <c r="B262" s="54">
        <v>256</v>
      </c>
      <c r="C262" s="168"/>
      <c r="D262" s="51"/>
      <c r="E262" s="29"/>
      <c r="F262" s="48"/>
      <c r="G262" s="29"/>
      <c r="H262" s="187"/>
      <c r="I262" s="187"/>
      <c r="J262" s="195"/>
      <c r="K262" s="86" t="str">
        <f t="shared" si="24"/>
        <v/>
      </c>
      <c r="L262" s="57" t="str">
        <f t="shared" si="31"/>
        <v/>
      </c>
      <c r="M262" s="186"/>
      <c r="N262" s="189"/>
      <c r="O262" s="190"/>
      <c r="P262" s="190" t="str">
        <f>IF(OR(ISBLANK(V262),COUNTBLANK(V262:$V$1048576)=ROWS(V262:$V$1048576)),"",$R$2*(1+SUM(V$7:V262)))</f>
        <v/>
      </c>
      <c r="Q262" s="191"/>
      <c r="R262" s="189"/>
      <c r="S262" s="53" t="str">
        <f t="shared" si="25"/>
        <v/>
      </c>
      <c r="T262" s="63" t="str">
        <f t="shared" si="26"/>
        <v/>
      </c>
      <c r="U262" s="64" t="str">
        <f>IF(OR(ISBLANK(Trades!R262), ISBLANK(Trades!H262), ISBLANK(Trades!I262)), "", IF(Trades!H262=Trades!I262, "N/A", (Trades!R262-Trades!H262)/(Trades!H262-Trades!I262)))</f>
        <v/>
      </c>
      <c r="V262" s="65" t="str">
        <f t="shared" si="27"/>
        <v/>
      </c>
      <c r="W262" s="66" t="str">
        <f t="shared" si="28"/>
        <v/>
      </c>
      <c r="X262" s="62" t="str">
        <f t="shared" si="29"/>
        <v/>
      </c>
      <c r="Y262" s="45"/>
      <c r="Z262" s="44"/>
      <c r="AA262" s="41"/>
      <c r="AB262" s="39"/>
      <c r="AC262" s="37" t="str">
        <f t="shared" si="30"/>
        <v/>
      </c>
    </row>
    <row r="263" spans="2:29" x14ac:dyDescent="0.25">
      <c r="B263" s="54">
        <v>257</v>
      </c>
      <c r="C263" s="168"/>
      <c r="D263" s="51"/>
      <c r="E263" s="29"/>
      <c r="F263" s="48"/>
      <c r="G263" s="29"/>
      <c r="H263" s="187"/>
      <c r="I263" s="187"/>
      <c r="J263" s="195"/>
      <c r="K263" s="86" t="str">
        <f t="shared" ref="K263:K326" si="32">IF(OR(ISBLANK(H263),ISBLANK(I263)),"",IF(H263 &lt; I263, "SHORT", IF(H263 &gt; I263, "LONG", "")))</f>
        <v/>
      </c>
      <c r="L263" s="57" t="str">
        <f t="shared" si="31"/>
        <v/>
      </c>
      <c r="M263" s="186"/>
      <c r="N263" s="189"/>
      <c r="O263" s="190"/>
      <c r="P263" s="190" t="str">
        <f>IF(OR(ISBLANK(V263),COUNTBLANK(V263:$V$1048576)=ROWS(V263:$V$1048576)),"",$R$2*(1+SUM(V$7:V263)))</f>
        <v/>
      </c>
      <c r="Q263" s="191"/>
      <c r="R263" s="189"/>
      <c r="S263" s="53" t="str">
        <f t="shared" ref="S263:S326" si="33">IF(COUNTIFS($C$7:$C$1000, "&lt;="&amp;C263, $X$7:$X$1000, "Win") = 0, "", IF(COUNTIFS($C$7:$C$1000, "&lt;="&amp;C263, $X$7:$X$1000, "&lt;&gt;"&amp;"") = 0, "", COUNTIFS($C$7:$C$1000, "&lt;="&amp;C263, $X$7:$X$1000, "Win")/COUNTIFS($C$7:$C$1000, "&lt;="&amp;C263, $X$7:$X$1000, "&lt;&gt;"&amp;"")))</f>
        <v/>
      </c>
      <c r="T263" s="63" t="str">
        <f t="shared" ref="T263:T326" si="34">IF(ISBLANK(R263),IF(ISBLANK(H263),"","Open"),"Closed")</f>
        <v/>
      </c>
      <c r="U263" s="64" t="str">
        <f>IF(OR(ISBLANK(Trades!R263), ISBLANK(Trades!H263), ISBLANK(Trades!I263)), "", IF(Trades!H263=Trades!I263, "N/A", (Trades!R263-Trades!H263)/(Trades!H263-Trades!I263)))</f>
        <v/>
      </c>
      <c r="V263" s="65" t="str">
        <f t="shared" ref="V263:V326" si="35">IF(U263="","",U263*F263)</f>
        <v/>
      </c>
      <c r="W263" s="66" t="str">
        <f t="shared" ref="W263:W326" si="36">IF(ISBLANK(R263),"",IF(H263&gt;I263,IF(I263&gt;=R263,"SL Hit",IF(O263&lt;&gt;"","PT3 Hit",IF(N263&lt;&gt;"","PT2 Hit",IF(M263&lt;&gt;"","PT1 Hit","")))),IF(I263&lt;=R263,"SL Hit",IF(O263&lt;&gt;"","PT3 Hit",IF(N263&lt;&gt;"","PT2 Hit",IF(M263&lt;&gt;"","PT1 Hit",""))))))</f>
        <v/>
      </c>
      <c r="X263" s="62" t="str">
        <f t="shared" ref="X263:X326" si="37">IF(ISBLANK(R263),"",IF(H263&gt;I263, IF(R263&gt;=H263, "Win", "Loss"), IF(R263&lt;=H263, "Win", "Loss")))</f>
        <v/>
      </c>
      <c r="Y263" s="45"/>
      <c r="Z263" s="44"/>
      <c r="AA263" s="41"/>
      <c r="AB263" s="39"/>
      <c r="AC263" s="37" t="str">
        <f t="shared" ref="AC263:AC326" si="38">IFERROR(COUNTIFS($C$7:$C$1000,"&gt;="&amp;DATE(YEAR(C263),MONTH(C263),1),$C$7:$C$1000,"&lt;="&amp;EOMONTH(C263,0),$X$7:$X$1000,"Win")/COUNTIFS($C$7:$C$1000,"&gt;="&amp;DATE(YEAR(C263),MONTH(C263),1),$C$7:$C$1000,"&lt;="&amp;EOMONTH(C263,0)),"")</f>
        <v/>
      </c>
    </row>
    <row r="264" spans="2:29" x14ac:dyDescent="0.25">
      <c r="B264" s="54">
        <v>258</v>
      </c>
      <c r="C264" s="168"/>
      <c r="D264" s="51"/>
      <c r="E264" s="29"/>
      <c r="F264" s="48"/>
      <c r="G264" s="29"/>
      <c r="H264" s="187"/>
      <c r="I264" s="187"/>
      <c r="J264" s="195"/>
      <c r="K264" s="86" t="str">
        <f t="shared" si="32"/>
        <v/>
      </c>
      <c r="L264" s="57" t="str">
        <f t="shared" si="31"/>
        <v/>
      </c>
      <c r="M264" s="186"/>
      <c r="N264" s="189"/>
      <c r="O264" s="190"/>
      <c r="P264" s="190" t="str">
        <f>IF(OR(ISBLANK(V264),COUNTBLANK(V264:$V$1048576)=ROWS(V264:$V$1048576)),"",$R$2*(1+SUM(V$7:V264)))</f>
        <v/>
      </c>
      <c r="Q264" s="191"/>
      <c r="R264" s="189"/>
      <c r="S264" s="53" t="str">
        <f t="shared" si="33"/>
        <v/>
      </c>
      <c r="T264" s="63" t="str">
        <f t="shared" si="34"/>
        <v/>
      </c>
      <c r="U264" s="64" t="str">
        <f>IF(OR(ISBLANK(Trades!R264), ISBLANK(Trades!H264), ISBLANK(Trades!I264)), "", IF(Trades!H264=Trades!I264, "N/A", (Trades!R264-Trades!H264)/(Trades!H264-Trades!I264)))</f>
        <v/>
      </c>
      <c r="V264" s="65" t="str">
        <f t="shared" si="35"/>
        <v/>
      </c>
      <c r="W264" s="66" t="str">
        <f t="shared" si="36"/>
        <v/>
      </c>
      <c r="X264" s="62" t="str">
        <f t="shared" si="37"/>
        <v/>
      </c>
      <c r="Y264" s="45"/>
      <c r="Z264" s="44"/>
      <c r="AA264" s="41"/>
      <c r="AB264" s="39"/>
      <c r="AC264" s="37" t="str">
        <f t="shared" si="38"/>
        <v/>
      </c>
    </row>
    <row r="265" spans="2:29" x14ac:dyDescent="0.25">
      <c r="B265" s="54">
        <v>259</v>
      </c>
      <c r="C265" s="168"/>
      <c r="D265" s="51"/>
      <c r="E265" s="29"/>
      <c r="F265" s="48"/>
      <c r="G265" s="29"/>
      <c r="H265" s="187"/>
      <c r="I265" s="187"/>
      <c r="J265" s="195"/>
      <c r="K265" s="86" t="str">
        <f t="shared" si="32"/>
        <v/>
      </c>
      <c r="L265" s="57" t="str">
        <f t="shared" si="31"/>
        <v/>
      </c>
      <c r="M265" s="186"/>
      <c r="N265" s="189"/>
      <c r="O265" s="190"/>
      <c r="P265" s="190" t="str">
        <f>IF(OR(ISBLANK(V265),COUNTBLANK(V265:$V$1048576)=ROWS(V265:$V$1048576)),"",$R$2*(1+SUM(V$7:V265)))</f>
        <v/>
      </c>
      <c r="Q265" s="191"/>
      <c r="R265" s="189"/>
      <c r="S265" s="53" t="str">
        <f t="shared" si="33"/>
        <v/>
      </c>
      <c r="T265" s="63" t="str">
        <f t="shared" si="34"/>
        <v/>
      </c>
      <c r="U265" s="64" t="str">
        <f>IF(OR(ISBLANK(Trades!R265), ISBLANK(Trades!H265), ISBLANK(Trades!I265)), "", IF(Trades!H265=Trades!I265, "N/A", (Trades!R265-Trades!H265)/(Trades!H265-Trades!I265)))</f>
        <v/>
      </c>
      <c r="V265" s="65" t="str">
        <f t="shared" si="35"/>
        <v/>
      </c>
      <c r="W265" s="66" t="str">
        <f t="shared" si="36"/>
        <v/>
      </c>
      <c r="X265" s="62" t="str">
        <f t="shared" si="37"/>
        <v/>
      </c>
      <c r="Y265" s="45"/>
      <c r="Z265" s="44"/>
      <c r="AA265" s="41"/>
      <c r="AB265" s="39"/>
      <c r="AC265" s="37" t="str">
        <f t="shared" si="38"/>
        <v/>
      </c>
    </row>
    <row r="266" spans="2:29" x14ac:dyDescent="0.25">
      <c r="B266" s="54">
        <v>260</v>
      </c>
      <c r="C266" s="168"/>
      <c r="D266" s="51"/>
      <c r="E266" s="29"/>
      <c r="F266" s="48"/>
      <c r="G266" s="29"/>
      <c r="H266" s="187"/>
      <c r="I266" s="187"/>
      <c r="J266" s="195"/>
      <c r="K266" s="86" t="str">
        <f t="shared" si="32"/>
        <v/>
      </c>
      <c r="L266" s="57" t="str">
        <f t="shared" si="31"/>
        <v/>
      </c>
      <c r="M266" s="186"/>
      <c r="N266" s="189"/>
      <c r="O266" s="190"/>
      <c r="P266" s="190" t="str">
        <f>IF(OR(ISBLANK(V266),COUNTBLANK(V266:$V$1048576)=ROWS(V266:$V$1048576)),"",$R$2*(1+SUM(V$7:V266)))</f>
        <v/>
      </c>
      <c r="Q266" s="191"/>
      <c r="R266" s="189"/>
      <c r="S266" s="53" t="str">
        <f t="shared" si="33"/>
        <v/>
      </c>
      <c r="T266" s="63" t="str">
        <f t="shared" si="34"/>
        <v/>
      </c>
      <c r="U266" s="64" t="str">
        <f>IF(OR(ISBLANK(Trades!R266), ISBLANK(Trades!H266), ISBLANK(Trades!I266)), "", IF(Trades!H266=Trades!I266, "N/A", (Trades!R266-Trades!H266)/(Trades!H266-Trades!I266)))</f>
        <v/>
      </c>
      <c r="V266" s="65" t="str">
        <f t="shared" si="35"/>
        <v/>
      </c>
      <c r="W266" s="66" t="str">
        <f t="shared" si="36"/>
        <v/>
      </c>
      <c r="X266" s="62" t="str">
        <f t="shared" si="37"/>
        <v/>
      </c>
      <c r="Y266" s="45"/>
      <c r="Z266" s="44"/>
      <c r="AA266" s="41"/>
      <c r="AB266" s="39"/>
      <c r="AC266" s="37" t="str">
        <f t="shared" si="38"/>
        <v/>
      </c>
    </row>
    <row r="267" spans="2:29" x14ac:dyDescent="0.25">
      <c r="B267" s="54">
        <v>261</v>
      </c>
      <c r="C267" s="168"/>
      <c r="D267" s="51"/>
      <c r="E267" s="29"/>
      <c r="F267" s="48"/>
      <c r="G267" s="29"/>
      <c r="H267" s="187"/>
      <c r="I267" s="187"/>
      <c r="J267" s="195"/>
      <c r="K267" s="86" t="str">
        <f t="shared" si="32"/>
        <v/>
      </c>
      <c r="L267" s="57" t="str">
        <f t="shared" si="31"/>
        <v/>
      </c>
      <c r="M267" s="186"/>
      <c r="N267" s="189"/>
      <c r="O267" s="190"/>
      <c r="P267" s="190" t="str">
        <f>IF(OR(ISBLANK(V267),COUNTBLANK(V267:$V$1048576)=ROWS(V267:$V$1048576)),"",$R$2*(1+SUM(V$7:V267)))</f>
        <v/>
      </c>
      <c r="Q267" s="191"/>
      <c r="R267" s="189"/>
      <c r="S267" s="53" t="str">
        <f t="shared" si="33"/>
        <v/>
      </c>
      <c r="T267" s="63" t="str">
        <f t="shared" si="34"/>
        <v/>
      </c>
      <c r="U267" s="64" t="str">
        <f>IF(OR(ISBLANK(Trades!R267), ISBLANK(Trades!H267), ISBLANK(Trades!I267)), "", IF(Trades!H267=Trades!I267, "N/A", (Trades!R267-Trades!H267)/(Trades!H267-Trades!I267)))</f>
        <v/>
      </c>
      <c r="V267" s="65" t="str">
        <f t="shared" si="35"/>
        <v/>
      </c>
      <c r="W267" s="66" t="str">
        <f t="shared" si="36"/>
        <v/>
      </c>
      <c r="X267" s="62" t="str">
        <f t="shared" si="37"/>
        <v/>
      </c>
      <c r="Y267" s="45"/>
      <c r="Z267" s="44"/>
      <c r="AA267" s="41"/>
      <c r="AB267" s="39"/>
      <c r="AC267" s="37" t="str">
        <f t="shared" si="38"/>
        <v/>
      </c>
    </row>
    <row r="268" spans="2:29" x14ac:dyDescent="0.25">
      <c r="B268" s="54">
        <v>262</v>
      </c>
      <c r="C268" s="168"/>
      <c r="D268" s="51"/>
      <c r="E268" s="29"/>
      <c r="F268" s="48"/>
      <c r="G268" s="29"/>
      <c r="H268" s="187"/>
      <c r="I268" s="187"/>
      <c r="J268" s="195"/>
      <c r="K268" s="86" t="str">
        <f t="shared" si="32"/>
        <v/>
      </c>
      <c r="L268" s="57" t="str">
        <f t="shared" ref="L268:L331" si="39">IF(OR(ISBLANK(J268),ISBLANK(H268),ISBLANK(I268)),"",ABS(J268-H268)/ABS(H268-I268))</f>
        <v/>
      </c>
      <c r="M268" s="186"/>
      <c r="N268" s="189"/>
      <c r="O268" s="190"/>
      <c r="P268" s="190" t="str">
        <f>IF(OR(ISBLANK(V268),COUNTBLANK(V268:$V$1048576)=ROWS(V268:$V$1048576)),"",$R$2*(1+SUM(V$7:V268)))</f>
        <v/>
      </c>
      <c r="Q268" s="191"/>
      <c r="R268" s="189"/>
      <c r="S268" s="53" t="str">
        <f t="shared" si="33"/>
        <v/>
      </c>
      <c r="T268" s="63" t="str">
        <f t="shared" si="34"/>
        <v/>
      </c>
      <c r="U268" s="64" t="str">
        <f>IF(OR(ISBLANK(Trades!R268), ISBLANK(Trades!H268), ISBLANK(Trades!I268)), "", IF(Trades!H268=Trades!I268, "N/A", (Trades!R268-Trades!H268)/(Trades!H268-Trades!I268)))</f>
        <v/>
      </c>
      <c r="V268" s="65" t="str">
        <f t="shared" si="35"/>
        <v/>
      </c>
      <c r="W268" s="66" t="str">
        <f t="shared" si="36"/>
        <v/>
      </c>
      <c r="X268" s="62" t="str">
        <f t="shared" si="37"/>
        <v/>
      </c>
      <c r="Y268" s="45"/>
      <c r="Z268" s="44"/>
      <c r="AA268" s="41"/>
      <c r="AB268" s="39"/>
      <c r="AC268" s="37" t="str">
        <f t="shared" si="38"/>
        <v/>
      </c>
    </row>
    <row r="269" spans="2:29" x14ac:dyDescent="0.25">
      <c r="B269" s="54">
        <v>263</v>
      </c>
      <c r="C269" s="168"/>
      <c r="D269" s="51"/>
      <c r="E269" s="29"/>
      <c r="F269" s="48"/>
      <c r="G269" s="29"/>
      <c r="H269" s="187"/>
      <c r="I269" s="187"/>
      <c r="J269" s="195"/>
      <c r="K269" s="86" t="str">
        <f t="shared" si="32"/>
        <v/>
      </c>
      <c r="L269" s="57" t="str">
        <f t="shared" si="39"/>
        <v/>
      </c>
      <c r="M269" s="186"/>
      <c r="N269" s="189"/>
      <c r="O269" s="190"/>
      <c r="P269" s="190" t="str">
        <f>IF(OR(ISBLANK(V269),COUNTBLANK(V269:$V$1048576)=ROWS(V269:$V$1048576)),"",$R$2*(1+SUM(V$7:V269)))</f>
        <v/>
      </c>
      <c r="Q269" s="191"/>
      <c r="R269" s="189"/>
      <c r="S269" s="53" t="str">
        <f t="shared" si="33"/>
        <v/>
      </c>
      <c r="T269" s="63" t="str">
        <f t="shared" si="34"/>
        <v/>
      </c>
      <c r="U269" s="64" t="str">
        <f>IF(OR(ISBLANK(Trades!R269), ISBLANK(Trades!H269), ISBLANK(Trades!I269)), "", IF(Trades!H269=Trades!I269, "N/A", (Trades!R269-Trades!H269)/(Trades!H269-Trades!I269)))</f>
        <v/>
      </c>
      <c r="V269" s="65" t="str">
        <f t="shared" si="35"/>
        <v/>
      </c>
      <c r="W269" s="66" t="str">
        <f t="shared" si="36"/>
        <v/>
      </c>
      <c r="X269" s="62" t="str">
        <f t="shared" si="37"/>
        <v/>
      </c>
      <c r="Y269" s="45"/>
      <c r="Z269" s="44"/>
      <c r="AA269" s="41"/>
      <c r="AB269" s="39"/>
      <c r="AC269" s="37" t="str">
        <f t="shared" si="38"/>
        <v/>
      </c>
    </row>
    <row r="270" spans="2:29" x14ac:dyDescent="0.25">
      <c r="B270" s="54">
        <v>264</v>
      </c>
      <c r="C270" s="168"/>
      <c r="D270" s="51"/>
      <c r="E270" s="29"/>
      <c r="F270" s="48"/>
      <c r="G270" s="29"/>
      <c r="H270" s="187"/>
      <c r="I270" s="187"/>
      <c r="J270" s="195"/>
      <c r="K270" s="86" t="str">
        <f t="shared" si="32"/>
        <v/>
      </c>
      <c r="L270" s="57" t="str">
        <f t="shared" si="39"/>
        <v/>
      </c>
      <c r="M270" s="186"/>
      <c r="N270" s="189"/>
      <c r="O270" s="190"/>
      <c r="P270" s="190" t="str">
        <f>IF(OR(ISBLANK(V270),COUNTBLANK(V270:$V$1048576)=ROWS(V270:$V$1048576)),"",$R$2*(1+SUM(V$7:V270)))</f>
        <v/>
      </c>
      <c r="Q270" s="191"/>
      <c r="R270" s="189"/>
      <c r="S270" s="53" t="str">
        <f t="shared" si="33"/>
        <v/>
      </c>
      <c r="T270" s="63" t="str">
        <f t="shared" si="34"/>
        <v/>
      </c>
      <c r="U270" s="64" t="str">
        <f>IF(OR(ISBLANK(Trades!R270), ISBLANK(Trades!H270), ISBLANK(Trades!I270)), "", IF(Trades!H270=Trades!I270, "N/A", (Trades!R270-Trades!H270)/(Trades!H270-Trades!I270)))</f>
        <v/>
      </c>
      <c r="V270" s="65" t="str">
        <f t="shared" si="35"/>
        <v/>
      </c>
      <c r="W270" s="66" t="str">
        <f t="shared" si="36"/>
        <v/>
      </c>
      <c r="X270" s="62" t="str">
        <f t="shared" si="37"/>
        <v/>
      </c>
      <c r="Y270" s="45"/>
      <c r="Z270" s="44"/>
      <c r="AA270" s="41"/>
      <c r="AB270" s="39"/>
      <c r="AC270" s="37" t="str">
        <f t="shared" si="38"/>
        <v/>
      </c>
    </row>
    <row r="271" spans="2:29" x14ac:dyDescent="0.25">
      <c r="B271" s="54">
        <v>265</v>
      </c>
      <c r="C271" s="168"/>
      <c r="D271" s="51"/>
      <c r="E271" s="29"/>
      <c r="F271" s="48"/>
      <c r="G271" s="29"/>
      <c r="H271" s="187"/>
      <c r="I271" s="187"/>
      <c r="J271" s="195"/>
      <c r="K271" s="86" t="str">
        <f t="shared" si="32"/>
        <v/>
      </c>
      <c r="L271" s="57" t="str">
        <f t="shared" si="39"/>
        <v/>
      </c>
      <c r="M271" s="186"/>
      <c r="N271" s="189"/>
      <c r="O271" s="190"/>
      <c r="P271" s="190" t="str">
        <f>IF(OR(ISBLANK(V271),COUNTBLANK(V271:$V$1048576)=ROWS(V271:$V$1048576)),"",$R$2*(1+SUM(V$7:V271)))</f>
        <v/>
      </c>
      <c r="Q271" s="191"/>
      <c r="R271" s="189"/>
      <c r="S271" s="53" t="str">
        <f t="shared" si="33"/>
        <v/>
      </c>
      <c r="T271" s="63" t="str">
        <f t="shared" si="34"/>
        <v/>
      </c>
      <c r="U271" s="64" t="str">
        <f>IF(OR(ISBLANK(Trades!R271), ISBLANK(Trades!H271), ISBLANK(Trades!I271)), "", IF(Trades!H271=Trades!I271, "N/A", (Trades!R271-Trades!H271)/(Trades!H271-Trades!I271)))</f>
        <v/>
      </c>
      <c r="V271" s="65" t="str">
        <f t="shared" si="35"/>
        <v/>
      </c>
      <c r="W271" s="66" t="str">
        <f t="shared" si="36"/>
        <v/>
      </c>
      <c r="X271" s="62" t="str">
        <f t="shared" si="37"/>
        <v/>
      </c>
      <c r="Y271" s="45"/>
      <c r="Z271" s="44"/>
      <c r="AA271" s="41"/>
      <c r="AB271" s="39"/>
      <c r="AC271" s="37" t="str">
        <f t="shared" si="38"/>
        <v/>
      </c>
    </row>
    <row r="272" spans="2:29" x14ac:dyDescent="0.25">
      <c r="B272" s="54">
        <v>266</v>
      </c>
      <c r="C272" s="168"/>
      <c r="D272" s="51"/>
      <c r="E272" s="29"/>
      <c r="F272" s="48"/>
      <c r="G272" s="29"/>
      <c r="H272" s="187"/>
      <c r="I272" s="187"/>
      <c r="J272" s="195"/>
      <c r="K272" s="86" t="str">
        <f t="shared" si="32"/>
        <v/>
      </c>
      <c r="L272" s="57" t="str">
        <f t="shared" si="39"/>
        <v/>
      </c>
      <c r="M272" s="186"/>
      <c r="N272" s="189"/>
      <c r="O272" s="190"/>
      <c r="P272" s="190" t="str">
        <f>IF(OR(ISBLANK(V272),COUNTBLANK(V272:$V$1048576)=ROWS(V272:$V$1048576)),"",$R$2*(1+SUM(V$7:V272)))</f>
        <v/>
      </c>
      <c r="Q272" s="191"/>
      <c r="R272" s="189"/>
      <c r="S272" s="53" t="str">
        <f t="shared" si="33"/>
        <v/>
      </c>
      <c r="T272" s="63" t="str">
        <f t="shared" si="34"/>
        <v/>
      </c>
      <c r="U272" s="64" t="str">
        <f>IF(OR(ISBLANK(Trades!R272), ISBLANK(Trades!H272), ISBLANK(Trades!I272)), "", IF(Trades!H272=Trades!I272, "N/A", (Trades!R272-Trades!H272)/(Trades!H272-Trades!I272)))</f>
        <v/>
      </c>
      <c r="V272" s="65" t="str">
        <f t="shared" si="35"/>
        <v/>
      </c>
      <c r="W272" s="66" t="str">
        <f t="shared" si="36"/>
        <v/>
      </c>
      <c r="X272" s="62" t="str">
        <f t="shared" si="37"/>
        <v/>
      </c>
      <c r="Y272" s="45"/>
      <c r="Z272" s="44"/>
      <c r="AA272" s="41"/>
      <c r="AB272" s="39"/>
      <c r="AC272" s="37" t="str">
        <f t="shared" si="38"/>
        <v/>
      </c>
    </row>
    <row r="273" spans="2:29" x14ac:dyDescent="0.25">
      <c r="B273" s="54">
        <v>267</v>
      </c>
      <c r="C273" s="168"/>
      <c r="D273" s="51"/>
      <c r="E273" s="29"/>
      <c r="F273" s="48"/>
      <c r="G273" s="29"/>
      <c r="H273" s="187"/>
      <c r="I273" s="187"/>
      <c r="J273" s="195"/>
      <c r="K273" s="86" t="str">
        <f t="shared" si="32"/>
        <v/>
      </c>
      <c r="L273" s="57" t="str">
        <f t="shared" si="39"/>
        <v/>
      </c>
      <c r="M273" s="186"/>
      <c r="N273" s="189"/>
      <c r="O273" s="190"/>
      <c r="P273" s="190" t="str">
        <f>IF(OR(ISBLANK(V273),COUNTBLANK(V273:$V$1048576)=ROWS(V273:$V$1048576)),"",$R$2*(1+SUM(V$7:V273)))</f>
        <v/>
      </c>
      <c r="Q273" s="191"/>
      <c r="R273" s="189"/>
      <c r="S273" s="53" t="str">
        <f t="shared" si="33"/>
        <v/>
      </c>
      <c r="T273" s="63" t="str">
        <f t="shared" si="34"/>
        <v/>
      </c>
      <c r="U273" s="64" t="str">
        <f>IF(OR(ISBLANK(Trades!R273), ISBLANK(Trades!H273), ISBLANK(Trades!I273)), "", IF(Trades!H273=Trades!I273, "N/A", (Trades!R273-Trades!H273)/(Trades!H273-Trades!I273)))</f>
        <v/>
      </c>
      <c r="V273" s="65" t="str">
        <f t="shared" si="35"/>
        <v/>
      </c>
      <c r="W273" s="66" t="str">
        <f t="shared" si="36"/>
        <v/>
      </c>
      <c r="X273" s="62" t="str">
        <f t="shared" si="37"/>
        <v/>
      </c>
      <c r="Y273" s="45"/>
      <c r="Z273" s="44"/>
      <c r="AA273" s="41"/>
      <c r="AB273" s="39"/>
      <c r="AC273" s="37" t="str">
        <f t="shared" si="38"/>
        <v/>
      </c>
    </row>
    <row r="274" spans="2:29" x14ac:dyDescent="0.25">
      <c r="B274" s="54">
        <v>268</v>
      </c>
      <c r="C274" s="168"/>
      <c r="D274" s="51"/>
      <c r="E274" s="29"/>
      <c r="F274" s="48"/>
      <c r="G274" s="29"/>
      <c r="H274" s="187"/>
      <c r="I274" s="187"/>
      <c r="J274" s="195"/>
      <c r="K274" s="86" t="str">
        <f t="shared" si="32"/>
        <v/>
      </c>
      <c r="L274" s="57" t="str">
        <f t="shared" si="39"/>
        <v/>
      </c>
      <c r="M274" s="186"/>
      <c r="N274" s="189"/>
      <c r="O274" s="190"/>
      <c r="P274" s="190" t="str">
        <f>IF(OR(ISBLANK(V274),COUNTBLANK(V274:$V$1048576)=ROWS(V274:$V$1048576)),"",$R$2*(1+SUM(V$7:V274)))</f>
        <v/>
      </c>
      <c r="Q274" s="191"/>
      <c r="R274" s="189"/>
      <c r="S274" s="53" t="str">
        <f t="shared" si="33"/>
        <v/>
      </c>
      <c r="T274" s="63" t="str">
        <f t="shared" si="34"/>
        <v/>
      </c>
      <c r="U274" s="64" t="str">
        <f>IF(OR(ISBLANK(Trades!R274), ISBLANK(Trades!H274), ISBLANK(Trades!I274)), "", IF(Trades!H274=Trades!I274, "N/A", (Trades!R274-Trades!H274)/(Trades!H274-Trades!I274)))</f>
        <v/>
      </c>
      <c r="V274" s="65" t="str">
        <f t="shared" si="35"/>
        <v/>
      </c>
      <c r="W274" s="66" t="str">
        <f t="shared" si="36"/>
        <v/>
      </c>
      <c r="X274" s="62" t="str">
        <f t="shared" si="37"/>
        <v/>
      </c>
      <c r="Y274" s="45"/>
      <c r="Z274" s="44"/>
      <c r="AA274" s="41"/>
      <c r="AB274" s="39"/>
      <c r="AC274" s="37" t="str">
        <f t="shared" si="38"/>
        <v/>
      </c>
    </row>
    <row r="275" spans="2:29" x14ac:dyDescent="0.25">
      <c r="B275" s="54">
        <v>269</v>
      </c>
      <c r="C275" s="168"/>
      <c r="D275" s="51"/>
      <c r="E275" s="29"/>
      <c r="F275" s="48"/>
      <c r="G275" s="29"/>
      <c r="H275" s="187"/>
      <c r="I275" s="187"/>
      <c r="J275" s="195"/>
      <c r="K275" s="86" t="str">
        <f t="shared" si="32"/>
        <v/>
      </c>
      <c r="L275" s="57" t="str">
        <f t="shared" si="39"/>
        <v/>
      </c>
      <c r="M275" s="186"/>
      <c r="N275" s="189"/>
      <c r="O275" s="190"/>
      <c r="P275" s="190" t="str">
        <f>IF(OR(ISBLANK(V275),COUNTBLANK(V275:$V$1048576)=ROWS(V275:$V$1048576)),"",$R$2*(1+SUM(V$7:V275)))</f>
        <v/>
      </c>
      <c r="Q275" s="191"/>
      <c r="R275" s="189"/>
      <c r="S275" s="53" t="str">
        <f t="shared" si="33"/>
        <v/>
      </c>
      <c r="T275" s="63" t="str">
        <f t="shared" si="34"/>
        <v/>
      </c>
      <c r="U275" s="64" t="str">
        <f>IF(OR(ISBLANK(Trades!R275), ISBLANK(Trades!H275), ISBLANK(Trades!I275)), "", IF(Trades!H275=Trades!I275, "N/A", (Trades!R275-Trades!H275)/(Trades!H275-Trades!I275)))</f>
        <v/>
      </c>
      <c r="V275" s="65" t="str">
        <f t="shared" si="35"/>
        <v/>
      </c>
      <c r="W275" s="66" t="str">
        <f t="shared" si="36"/>
        <v/>
      </c>
      <c r="X275" s="62" t="str">
        <f t="shared" si="37"/>
        <v/>
      </c>
      <c r="Y275" s="45"/>
      <c r="Z275" s="44"/>
      <c r="AA275" s="41"/>
      <c r="AB275" s="39"/>
      <c r="AC275" s="37" t="str">
        <f t="shared" si="38"/>
        <v/>
      </c>
    </row>
    <row r="276" spans="2:29" x14ac:dyDescent="0.25">
      <c r="B276" s="54">
        <v>270</v>
      </c>
      <c r="C276" s="168"/>
      <c r="D276" s="51"/>
      <c r="E276" s="29"/>
      <c r="F276" s="48"/>
      <c r="G276" s="29"/>
      <c r="H276" s="187"/>
      <c r="I276" s="187"/>
      <c r="J276" s="195"/>
      <c r="K276" s="86" t="str">
        <f t="shared" si="32"/>
        <v/>
      </c>
      <c r="L276" s="57" t="str">
        <f t="shared" si="39"/>
        <v/>
      </c>
      <c r="M276" s="186"/>
      <c r="N276" s="189"/>
      <c r="O276" s="190"/>
      <c r="P276" s="190" t="str">
        <f>IF(OR(ISBLANK(V276),COUNTBLANK(V276:$V$1048576)=ROWS(V276:$V$1048576)),"",$R$2*(1+SUM(V$7:V276)))</f>
        <v/>
      </c>
      <c r="Q276" s="191"/>
      <c r="R276" s="189"/>
      <c r="S276" s="53" t="str">
        <f t="shared" si="33"/>
        <v/>
      </c>
      <c r="T276" s="63" t="str">
        <f t="shared" si="34"/>
        <v/>
      </c>
      <c r="U276" s="64" t="str">
        <f>IF(OR(ISBLANK(Trades!R276), ISBLANK(Trades!H276), ISBLANK(Trades!I276)), "", IF(Trades!H276=Trades!I276, "N/A", (Trades!R276-Trades!H276)/(Trades!H276-Trades!I276)))</f>
        <v/>
      </c>
      <c r="V276" s="65" t="str">
        <f t="shared" si="35"/>
        <v/>
      </c>
      <c r="W276" s="66" t="str">
        <f t="shared" si="36"/>
        <v/>
      </c>
      <c r="X276" s="62" t="str">
        <f t="shared" si="37"/>
        <v/>
      </c>
      <c r="Y276" s="45"/>
      <c r="Z276" s="44"/>
      <c r="AA276" s="41"/>
      <c r="AB276" s="39"/>
      <c r="AC276" s="37" t="str">
        <f t="shared" si="38"/>
        <v/>
      </c>
    </row>
    <row r="277" spans="2:29" x14ac:dyDescent="0.25">
      <c r="B277" s="54">
        <v>271</v>
      </c>
      <c r="C277" s="168"/>
      <c r="D277" s="51"/>
      <c r="E277" s="29"/>
      <c r="F277" s="48"/>
      <c r="G277" s="29"/>
      <c r="H277" s="187"/>
      <c r="I277" s="187"/>
      <c r="J277" s="195"/>
      <c r="K277" s="86" t="str">
        <f t="shared" si="32"/>
        <v/>
      </c>
      <c r="L277" s="57" t="str">
        <f t="shared" si="39"/>
        <v/>
      </c>
      <c r="M277" s="186"/>
      <c r="N277" s="189"/>
      <c r="O277" s="190"/>
      <c r="P277" s="190" t="str">
        <f>IF(OR(ISBLANK(V277),COUNTBLANK(V277:$V$1048576)=ROWS(V277:$V$1048576)),"",$R$2*(1+SUM(V$7:V277)))</f>
        <v/>
      </c>
      <c r="Q277" s="191"/>
      <c r="R277" s="189"/>
      <c r="S277" s="53" t="str">
        <f t="shared" si="33"/>
        <v/>
      </c>
      <c r="T277" s="63" t="str">
        <f t="shared" si="34"/>
        <v/>
      </c>
      <c r="U277" s="64" t="str">
        <f>IF(OR(ISBLANK(Trades!R277), ISBLANK(Trades!H277), ISBLANK(Trades!I277)), "", IF(Trades!H277=Trades!I277, "N/A", (Trades!R277-Trades!H277)/(Trades!H277-Trades!I277)))</f>
        <v/>
      </c>
      <c r="V277" s="65" t="str">
        <f t="shared" si="35"/>
        <v/>
      </c>
      <c r="W277" s="66" t="str">
        <f t="shared" si="36"/>
        <v/>
      </c>
      <c r="X277" s="62" t="str">
        <f t="shared" si="37"/>
        <v/>
      </c>
      <c r="Y277" s="45"/>
      <c r="Z277" s="44"/>
      <c r="AA277" s="41"/>
      <c r="AB277" s="39"/>
      <c r="AC277" s="37" t="str">
        <f t="shared" si="38"/>
        <v/>
      </c>
    </row>
    <row r="278" spans="2:29" x14ac:dyDescent="0.25">
      <c r="B278" s="54">
        <v>272</v>
      </c>
      <c r="C278" s="168"/>
      <c r="D278" s="51"/>
      <c r="E278" s="29"/>
      <c r="F278" s="48"/>
      <c r="G278" s="29"/>
      <c r="H278" s="187"/>
      <c r="I278" s="187"/>
      <c r="J278" s="195"/>
      <c r="K278" s="86" t="str">
        <f t="shared" si="32"/>
        <v/>
      </c>
      <c r="L278" s="57" t="str">
        <f t="shared" si="39"/>
        <v/>
      </c>
      <c r="M278" s="186"/>
      <c r="N278" s="189"/>
      <c r="O278" s="190"/>
      <c r="P278" s="190" t="str">
        <f>IF(OR(ISBLANK(V278),COUNTBLANK(V278:$V$1048576)=ROWS(V278:$V$1048576)),"",$R$2*(1+SUM(V$7:V278)))</f>
        <v/>
      </c>
      <c r="Q278" s="191"/>
      <c r="R278" s="189"/>
      <c r="S278" s="53" t="str">
        <f t="shared" si="33"/>
        <v/>
      </c>
      <c r="T278" s="63" t="str">
        <f t="shared" si="34"/>
        <v/>
      </c>
      <c r="U278" s="64" t="str">
        <f>IF(OR(ISBLANK(Trades!R278), ISBLANK(Trades!H278), ISBLANK(Trades!I278)), "", IF(Trades!H278=Trades!I278, "N/A", (Trades!R278-Trades!H278)/(Trades!H278-Trades!I278)))</f>
        <v/>
      </c>
      <c r="V278" s="65" t="str">
        <f t="shared" si="35"/>
        <v/>
      </c>
      <c r="W278" s="66" t="str">
        <f t="shared" si="36"/>
        <v/>
      </c>
      <c r="X278" s="62" t="str">
        <f t="shared" si="37"/>
        <v/>
      </c>
      <c r="Y278" s="45"/>
      <c r="Z278" s="44"/>
      <c r="AA278" s="41"/>
      <c r="AB278" s="39"/>
      <c r="AC278" s="37" t="str">
        <f t="shared" si="38"/>
        <v/>
      </c>
    </row>
    <row r="279" spans="2:29" x14ac:dyDescent="0.25">
      <c r="B279" s="54">
        <v>273</v>
      </c>
      <c r="C279" s="168"/>
      <c r="D279" s="51"/>
      <c r="E279" s="29"/>
      <c r="F279" s="48"/>
      <c r="G279" s="29"/>
      <c r="H279" s="187"/>
      <c r="I279" s="187"/>
      <c r="J279" s="195"/>
      <c r="K279" s="86" t="str">
        <f t="shared" si="32"/>
        <v/>
      </c>
      <c r="L279" s="57" t="str">
        <f t="shared" si="39"/>
        <v/>
      </c>
      <c r="M279" s="186"/>
      <c r="N279" s="189"/>
      <c r="O279" s="190"/>
      <c r="P279" s="190" t="str">
        <f>IF(OR(ISBLANK(V279),COUNTBLANK(V279:$V$1048576)=ROWS(V279:$V$1048576)),"",$R$2*(1+SUM(V$7:V279)))</f>
        <v/>
      </c>
      <c r="Q279" s="191"/>
      <c r="R279" s="189"/>
      <c r="S279" s="53" t="str">
        <f t="shared" si="33"/>
        <v/>
      </c>
      <c r="T279" s="63" t="str">
        <f t="shared" si="34"/>
        <v/>
      </c>
      <c r="U279" s="64" t="str">
        <f>IF(OR(ISBLANK(Trades!R279), ISBLANK(Trades!H279), ISBLANK(Trades!I279)), "", IF(Trades!H279=Trades!I279, "N/A", (Trades!R279-Trades!H279)/(Trades!H279-Trades!I279)))</f>
        <v/>
      </c>
      <c r="V279" s="65" t="str">
        <f t="shared" si="35"/>
        <v/>
      </c>
      <c r="W279" s="66" t="str">
        <f t="shared" si="36"/>
        <v/>
      </c>
      <c r="X279" s="62" t="str">
        <f t="shared" si="37"/>
        <v/>
      </c>
      <c r="Y279" s="45"/>
      <c r="Z279" s="44"/>
      <c r="AA279" s="41"/>
      <c r="AB279" s="39"/>
      <c r="AC279" s="37" t="str">
        <f t="shared" si="38"/>
        <v/>
      </c>
    </row>
    <row r="280" spans="2:29" x14ac:dyDescent="0.25">
      <c r="B280" s="54">
        <v>274</v>
      </c>
      <c r="C280" s="168"/>
      <c r="D280" s="51"/>
      <c r="E280" s="29"/>
      <c r="F280" s="48"/>
      <c r="G280" s="29"/>
      <c r="H280" s="187"/>
      <c r="I280" s="187"/>
      <c r="J280" s="195"/>
      <c r="K280" s="86" t="str">
        <f t="shared" si="32"/>
        <v/>
      </c>
      <c r="L280" s="57" t="str">
        <f t="shared" si="39"/>
        <v/>
      </c>
      <c r="M280" s="186"/>
      <c r="N280" s="189"/>
      <c r="O280" s="190"/>
      <c r="P280" s="190" t="str">
        <f>IF(OR(ISBLANK(V280),COUNTBLANK(V280:$V$1048576)=ROWS(V280:$V$1048576)),"",$R$2*(1+SUM(V$7:V280)))</f>
        <v/>
      </c>
      <c r="Q280" s="191"/>
      <c r="R280" s="189"/>
      <c r="S280" s="53" t="str">
        <f t="shared" si="33"/>
        <v/>
      </c>
      <c r="T280" s="63" t="str">
        <f t="shared" si="34"/>
        <v/>
      </c>
      <c r="U280" s="64" t="str">
        <f>IF(OR(ISBLANK(Trades!R280), ISBLANK(Trades!H280), ISBLANK(Trades!I280)), "", IF(Trades!H280=Trades!I280, "N/A", (Trades!R280-Trades!H280)/(Trades!H280-Trades!I280)))</f>
        <v/>
      </c>
      <c r="V280" s="65" t="str">
        <f t="shared" si="35"/>
        <v/>
      </c>
      <c r="W280" s="66" t="str">
        <f t="shared" si="36"/>
        <v/>
      </c>
      <c r="X280" s="62" t="str">
        <f t="shared" si="37"/>
        <v/>
      </c>
      <c r="Y280" s="45"/>
      <c r="Z280" s="44"/>
      <c r="AA280" s="41"/>
      <c r="AB280" s="39"/>
      <c r="AC280" s="37" t="str">
        <f t="shared" si="38"/>
        <v/>
      </c>
    </row>
    <row r="281" spans="2:29" x14ac:dyDescent="0.25">
      <c r="B281" s="54">
        <v>275</v>
      </c>
      <c r="C281" s="168"/>
      <c r="D281" s="51"/>
      <c r="E281" s="29"/>
      <c r="F281" s="48"/>
      <c r="G281" s="29"/>
      <c r="H281" s="187"/>
      <c r="I281" s="187"/>
      <c r="J281" s="195"/>
      <c r="K281" s="86" t="str">
        <f t="shared" si="32"/>
        <v/>
      </c>
      <c r="L281" s="57" t="str">
        <f t="shared" si="39"/>
        <v/>
      </c>
      <c r="M281" s="186"/>
      <c r="N281" s="189"/>
      <c r="O281" s="190"/>
      <c r="P281" s="190" t="str">
        <f>IF(OR(ISBLANK(V281),COUNTBLANK(V281:$V$1048576)=ROWS(V281:$V$1048576)),"",$R$2*(1+SUM(V$7:V281)))</f>
        <v/>
      </c>
      <c r="Q281" s="191"/>
      <c r="R281" s="189"/>
      <c r="S281" s="53" t="str">
        <f t="shared" si="33"/>
        <v/>
      </c>
      <c r="T281" s="63" t="str">
        <f t="shared" si="34"/>
        <v/>
      </c>
      <c r="U281" s="64" t="str">
        <f>IF(OR(ISBLANK(Trades!R281), ISBLANK(Trades!H281), ISBLANK(Trades!I281)), "", IF(Trades!H281=Trades!I281, "N/A", (Trades!R281-Trades!H281)/(Trades!H281-Trades!I281)))</f>
        <v/>
      </c>
      <c r="V281" s="65" t="str">
        <f t="shared" si="35"/>
        <v/>
      </c>
      <c r="W281" s="66" t="str">
        <f t="shared" si="36"/>
        <v/>
      </c>
      <c r="X281" s="62" t="str">
        <f t="shared" si="37"/>
        <v/>
      </c>
      <c r="Y281" s="45"/>
      <c r="Z281" s="44"/>
      <c r="AA281" s="41"/>
      <c r="AB281" s="39"/>
      <c r="AC281" s="37" t="str">
        <f t="shared" si="38"/>
        <v/>
      </c>
    </row>
    <row r="282" spans="2:29" x14ac:dyDescent="0.25">
      <c r="B282" s="54">
        <v>276</v>
      </c>
      <c r="C282" s="168"/>
      <c r="D282" s="51"/>
      <c r="E282" s="29"/>
      <c r="F282" s="48"/>
      <c r="G282" s="29"/>
      <c r="H282" s="187"/>
      <c r="I282" s="187"/>
      <c r="J282" s="195"/>
      <c r="K282" s="86" t="str">
        <f t="shared" si="32"/>
        <v/>
      </c>
      <c r="L282" s="57" t="str">
        <f t="shared" si="39"/>
        <v/>
      </c>
      <c r="M282" s="186"/>
      <c r="N282" s="189"/>
      <c r="O282" s="190"/>
      <c r="P282" s="190" t="str">
        <f>IF(OR(ISBLANK(V282),COUNTBLANK(V282:$V$1048576)=ROWS(V282:$V$1048576)),"",$R$2*(1+SUM(V$7:V282)))</f>
        <v/>
      </c>
      <c r="Q282" s="191"/>
      <c r="R282" s="189"/>
      <c r="S282" s="53" t="str">
        <f t="shared" si="33"/>
        <v/>
      </c>
      <c r="T282" s="63" t="str">
        <f t="shared" si="34"/>
        <v/>
      </c>
      <c r="U282" s="64" t="str">
        <f>IF(OR(ISBLANK(Trades!R282), ISBLANK(Trades!H282), ISBLANK(Trades!I282)), "", IF(Trades!H282=Trades!I282, "N/A", (Trades!R282-Trades!H282)/(Trades!H282-Trades!I282)))</f>
        <v/>
      </c>
      <c r="V282" s="65" t="str">
        <f t="shared" si="35"/>
        <v/>
      </c>
      <c r="W282" s="66" t="str">
        <f t="shared" si="36"/>
        <v/>
      </c>
      <c r="X282" s="62" t="str">
        <f t="shared" si="37"/>
        <v/>
      </c>
      <c r="Y282" s="45"/>
      <c r="Z282" s="44"/>
      <c r="AA282" s="41"/>
      <c r="AB282" s="39"/>
      <c r="AC282" s="37" t="str">
        <f t="shared" si="38"/>
        <v/>
      </c>
    </row>
    <row r="283" spans="2:29" x14ac:dyDescent="0.25">
      <c r="B283" s="54">
        <v>277</v>
      </c>
      <c r="C283" s="168"/>
      <c r="D283" s="51"/>
      <c r="E283" s="29"/>
      <c r="F283" s="48"/>
      <c r="G283" s="29"/>
      <c r="H283" s="187"/>
      <c r="I283" s="187"/>
      <c r="J283" s="195"/>
      <c r="K283" s="86" t="str">
        <f t="shared" si="32"/>
        <v/>
      </c>
      <c r="L283" s="57" t="str">
        <f t="shared" si="39"/>
        <v/>
      </c>
      <c r="M283" s="186"/>
      <c r="N283" s="189"/>
      <c r="O283" s="190"/>
      <c r="P283" s="190" t="str">
        <f>IF(OR(ISBLANK(V283),COUNTBLANK(V283:$V$1048576)=ROWS(V283:$V$1048576)),"",$R$2*(1+SUM(V$7:V283)))</f>
        <v/>
      </c>
      <c r="Q283" s="191"/>
      <c r="R283" s="189"/>
      <c r="S283" s="53" t="str">
        <f t="shared" si="33"/>
        <v/>
      </c>
      <c r="T283" s="63" t="str">
        <f t="shared" si="34"/>
        <v/>
      </c>
      <c r="U283" s="64" t="str">
        <f>IF(OR(ISBLANK(Trades!R283), ISBLANK(Trades!H283), ISBLANK(Trades!I283)), "", IF(Trades!H283=Trades!I283, "N/A", (Trades!R283-Trades!H283)/(Trades!H283-Trades!I283)))</f>
        <v/>
      </c>
      <c r="V283" s="65" t="str">
        <f t="shared" si="35"/>
        <v/>
      </c>
      <c r="W283" s="66" t="str">
        <f t="shared" si="36"/>
        <v/>
      </c>
      <c r="X283" s="62" t="str">
        <f t="shared" si="37"/>
        <v/>
      </c>
      <c r="Y283" s="45"/>
      <c r="Z283" s="44"/>
      <c r="AA283" s="41"/>
      <c r="AB283" s="39"/>
      <c r="AC283" s="37" t="str">
        <f t="shared" si="38"/>
        <v/>
      </c>
    </row>
    <row r="284" spans="2:29" x14ac:dyDescent="0.25">
      <c r="B284" s="54">
        <v>278</v>
      </c>
      <c r="C284" s="168"/>
      <c r="D284" s="51"/>
      <c r="E284" s="29"/>
      <c r="F284" s="48"/>
      <c r="G284" s="29"/>
      <c r="H284" s="187"/>
      <c r="I284" s="187"/>
      <c r="J284" s="195"/>
      <c r="K284" s="86" t="str">
        <f t="shared" si="32"/>
        <v/>
      </c>
      <c r="L284" s="57" t="str">
        <f t="shared" si="39"/>
        <v/>
      </c>
      <c r="M284" s="186"/>
      <c r="N284" s="189"/>
      <c r="O284" s="190"/>
      <c r="P284" s="190" t="str">
        <f>IF(OR(ISBLANK(V284),COUNTBLANK(V284:$V$1048576)=ROWS(V284:$V$1048576)),"",$R$2*(1+SUM(V$7:V284)))</f>
        <v/>
      </c>
      <c r="Q284" s="191"/>
      <c r="R284" s="189"/>
      <c r="S284" s="53" t="str">
        <f t="shared" si="33"/>
        <v/>
      </c>
      <c r="T284" s="63" t="str">
        <f t="shared" si="34"/>
        <v/>
      </c>
      <c r="U284" s="64" t="str">
        <f>IF(OR(ISBLANK(Trades!R284), ISBLANK(Trades!H284), ISBLANK(Trades!I284)), "", IF(Trades!H284=Trades!I284, "N/A", (Trades!R284-Trades!H284)/(Trades!H284-Trades!I284)))</f>
        <v/>
      </c>
      <c r="V284" s="65" t="str">
        <f t="shared" si="35"/>
        <v/>
      </c>
      <c r="W284" s="66" t="str">
        <f t="shared" si="36"/>
        <v/>
      </c>
      <c r="X284" s="62" t="str">
        <f t="shared" si="37"/>
        <v/>
      </c>
      <c r="Y284" s="45"/>
      <c r="Z284" s="44"/>
      <c r="AA284" s="41"/>
      <c r="AB284" s="39"/>
      <c r="AC284" s="37" t="str">
        <f t="shared" si="38"/>
        <v/>
      </c>
    </row>
    <row r="285" spans="2:29" x14ac:dyDescent="0.25">
      <c r="B285" s="54">
        <v>279</v>
      </c>
      <c r="C285" s="168"/>
      <c r="D285" s="51"/>
      <c r="E285" s="29"/>
      <c r="F285" s="48"/>
      <c r="G285" s="29"/>
      <c r="H285" s="187"/>
      <c r="I285" s="187"/>
      <c r="J285" s="195"/>
      <c r="K285" s="86" t="str">
        <f t="shared" si="32"/>
        <v/>
      </c>
      <c r="L285" s="57" t="str">
        <f t="shared" si="39"/>
        <v/>
      </c>
      <c r="M285" s="186"/>
      <c r="N285" s="189"/>
      <c r="O285" s="190"/>
      <c r="P285" s="190" t="str">
        <f>IF(OR(ISBLANK(V285),COUNTBLANK(V285:$V$1048576)=ROWS(V285:$V$1048576)),"",$R$2*(1+SUM(V$7:V285)))</f>
        <v/>
      </c>
      <c r="Q285" s="191"/>
      <c r="R285" s="189"/>
      <c r="S285" s="53" t="str">
        <f t="shared" si="33"/>
        <v/>
      </c>
      <c r="T285" s="63" t="str">
        <f t="shared" si="34"/>
        <v/>
      </c>
      <c r="U285" s="64" t="str">
        <f>IF(OR(ISBLANK(Trades!R285), ISBLANK(Trades!H285), ISBLANK(Trades!I285)), "", IF(Trades!H285=Trades!I285, "N/A", (Trades!R285-Trades!H285)/(Trades!H285-Trades!I285)))</f>
        <v/>
      </c>
      <c r="V285" s="65" t="str">
        <f t="shared" si="35"/>
        <v/>
      </c>
      <c r="W285" s="66" t="str">
        <f t="shared" si="36"/>
        <v/>
      </c>
      <c r="X285" s="62" t="str">
        <f t="shared" si="37"/>
        <v/>
      </c>
      <c r="Y285" s="45"/>
      <c r="Z285" s="44"/>
      <c r="AA285" s="41"/>
      <c r="AB285" s="39"/>
      <c r="AC285" s="37" t="str">
        <f t="shared" si="38"/>
        <v/>
      </c>
    </row>
    <row r="286" spans="2:29" x14ac:dyDescent="0.25">
      <c r="B286" s="54">
        <v>280</v>
      </c>
      <c r="C286" s="168"/>
      <c r="D286" s="51"/>
      <c r="E286" s="29"/>
      <c r="F286" s="48"/>
      <c r="G286" s="29"/>
      <c r="H286" s="187"/>
      <c r="I286" s="187"/>
      <c r="J286" s="195"/>
      <c r="K286" s="86" t="str">
        <f t="shared" si="32"/>
        <v/>
      </c>
      <c r="L286" s="57" t="str">
        <f t="shared" si="39"/>
        <v/>
      </c>
      <c r="M286" s="186"/>
      <c r="N286" s="189"/>
      <c r="O286" s="190"/>
      <c r="P286" s="190" t="str">
        <f>IF(OR(ISBLANK(V286),COUNTBLANK(V286:$V$1048576)=ROWS(V286:$V$1048576)),"",$R$2*(1+SUM(V$7:V286)))</f>
        <v/>
      </c>
      <c r="Q286" s="191"/>
      <c r="R286" s="189"/>
      <c r="S286" s="53" t="str">
        <f t="shared" si="33"/>
        <v/>
      </c>
      <c r="T286" s="63" t="str">
        <f t="shared" si="34"/>
        <v/>
      </c>
      <c r="U286" s="64" t="str">
        <f>IF(OR(ISBLANK(Trades!R286), ISBLANK(Trades!H286), ISBLANK(Trades!I286)), "", IF(Trades!H286=Trades!I286, "N/A", (Trades!R286-Trades!H286)/(Trades!H286-Trades!I286)))</f>
        <v/>
      </c>
      <c r="V286" s="65" t="str">
        <f t="shared" si="35"/>
        <v/>
      </c>
      <c r="W286" s="66" t="str">
        <f t="shared" si="36"/>
        <v/>
      </c>
      <c r="X286" s="62" t="str">
        <f t="shared" si="37"/>
        <v/>
      </c>
      <c r="Y286" s="45"/>
      <c r="Z286" s="44"/>
      <c r="AA286" s="41"/>
      <c r="AB286" s="39"/>
      <c r="AC286" s="37" t="str">
        <f t="shared" si="38"/>
        <v/>
      </c>
    </row>
    <row r="287" spans="2:29" x14ac:dyDescent="0.25">
      <c r="B287" s="54">
        <v>281</v>
      </c>
      <c r="C287" s="168"/>
      <c r="D287" s="51"/>
      <c r="E287" s="29"/>
      <c r="F287" s="48"/>
      <c r="G287" s="29"/>
      <c r="H287" s="187"/>
      <c r="I287" s="187"/>
      <c r="J287" s="195"/>
      <c r="K287" s="86" t="str">
        <f t="shared" si="32"/>
        <v/>
      </c>
      <c r="L287" s="57" t="str">
        <f t="shared" si="39"/>
        <v/>
      </c>
      <c r="M287" s="186"/>
      <c r="N287" s="189"/>
      <c r="O287" s="190"/>
      <c r="P287" s="190" t="str">
        <f>IF(OR(ISBLANK(V287),COUNTBLANK(V287:$V$1048576)=ROWS(V287:$V$1048576)),"",$R$2*(1+SUM(V$7:V287)))</f>
        <v/>
      </c>
      <c r="Q287" s="191"/>
      <c r="R287" s="189"/>
      <c r="S287" s="53" t="str">
        <f t="shared" si="33"/>
        <v/>
      </c>
      <c r="T287" s="63" t="str">
        <f t="shared" si="34"/>
        <v/>
      </c>
      <c r="U287" s="64" t="str">
        <f>IF(OR(ISBLANK(Trades!R287), ISBLANK(Trades!H287), ISBLANK(Trades!I287)), "", IF(Trades!H287=Trades!I287, "N/A", (Trades!R287-Trades!H287)/(Trades!H287-Trades!I287)))</f>
        <v/>
      </c>
      <c r="V287" s="65" t="str">
        <f t="shared" si="35"/>
        <v/>
      </c>
      <c r="W287" s="66" t="str">
        <f t="shared" si="36"/>
        <v/>
      </c>
      <c r="X287" s="62" t="str">
        <f t="shared" si="37"/>
        <v/>
      </c>
      <c r="Y287" s="45"/>
      <c r="Z287" s="44"/>
      <c r="AA287" s="41"/>
      <c r="AB287" s="39"/>
      <c r="AC287" s="37" t="str">
        <f t="shared" si="38"/>
        <v/>
      </c>
    </row>
    <row r="288" spans="2:29" x14ac:dyDescent="0.25">
      <c r="B288" s="54">
        <v>282</v>
      </c>
      <c r="C288" s="168"/>
      <c r="D288" s="51"/>
      <c r="E288" s="29"/>
      <c r="F288" s="48"/>
      <c r="G288" s="29"/>
      <c r="H288" s="187"/>
      <c r="I288" s="187"/>
      <c r="J288" s="195"/>
      <c r="K288" s="86" t="str">
        <f t="shared" si="32"/>
        <v/>
      </c>
      <c r="L288" s="57" t="str">
        <f t="shared" si="39"/>
        <v/>
      </c>
      <c r="M288" s="186"/>
      <c r="N288" s="189"/>
      <c r="O288" s="190"/>
      <c r="P288" s="190" t="str">
        <f>IF(OR(ISBLANK(V288),COUNTBLANK(V288:$V$1048576)=ROWS(V288:$V$1048576)),"",$R$2*(1+SUM(V$7:V288)))</f>
        <v/>
      </c>
      <c r="Q288" s="191"/>
      <c r="R288" s="189"/>
      <c r="S288" s="53" t="str">
        <f t="shared" si="33"/>
        <v/>
      </c>
      <c r="T288" s="63" t="str">
        <f t="shared" si="34"/>
        <v/>
      </c>
      <c r="U288" s="64" t="str">
        <f>IF(OR(ISBLANK(Trades!R288), ISBLANK(Trades!H288), ISBLANK(Trades!I288)), "", IF(Trades!H288=Trades!I288, "N/A", (Trades!R288-Trades!H288)/(Trades!H288-Trades!I288)))</f>
        <v/>
      </c>
      <c r="V288" s="65" t="str">
        <f t="shared" si="35"/>
        <v/>
      </c>
      <c r="W288" s="66" t="str">
        <f t="shared" si="36"/>
        <v/>
      </c>
      <c r="X288" s="62" t="str">
        <f t="shared" si="37"/>
        <v/>
      </c>
      <c r="Y288" s="45"/>
      <c r="Z288" s="44"/>
      <c r="AA288" s="41"/>
      <c r="AB288" s="39"/>
      <c r="AC288" s="37" t="str">
        <f t="shared" si="38"/>
        <v/>
      </c>
    </row>
    <row r="289" spans="2:29" x14ac:dyDescent="0.25">
      <c r="B289" s="54">
        <v>283</v>
      </c>
      <c r="C289" s="168"/>
      <c r="D289" s="51"/>
      <c r="E289" s="29"/>
      <c r="F289" s="48"/>
      <c r="G289" s="29"/>
      <c r="H289" s="187"/>
      <c r="I289" s="187"/>
      <c r="J289" s="195"/>
      <c r="K289" s="86" t="str">
        <f t="shared" si="32"/>
        <v/>
      </c>
      <c r="L289" s="57" t="str">
        <f t="shared" si="39"/>
        <v/>
      </c>
      <c r="M289" s="186"/>
      <c r="N289" s="189"/>
      <c r="O289" s="190"/>
      <c r="P289" s="190" t="str">
        <f>IF(OR(ISBLANK(V289),COUNTBLANK(V289:$V$1048576)=ROWS(V289:$V$1048576)),"",$R$2*(1+SUM(V$7:V289)))</f>
        <v/>
      </c>
      <c r="Q289" s="191"/>
      <c r="R289" s="189"/>
      <c r="S289" s="53" t="str">
        <f t="shared" si="33"/>
        <v/>
      </c>
      <c r="T289" s="63" t="str">
        <f t="shared" si="34"/>
        <v/>
      </c>
      <c r="U289" s="64" t="str">
        <f>IF(OR(ISBLANK(Trades!R289), ISBLANK(Trades!H289), ISBLANK(Trades!I289)), "", IF(Trades!H289=Trades!I289, "N/A", (Trades!R289-Trades!H289)/(Trades!H289-Trades!I289)))</f>
        <v/>
      </c>
      <c r="V289" s="65" t="str">
        <f t="shared" si="35"/>
        <v/>
      </c>
      <c r="W289" s="66" t="str">
        <f t="shared" si="36"/>
        <v/>
      </c>
      <c r="X289" s="62" t="str">
        <f t="shared" si="37"/>
        <v/>
      </c>
      <c r="Y289" s="45"/>
      <c r="Z289" s="44"/>
      <c r="AA289" s="41"/>
      <c r="AB289" s="39"/>
      <c r="AC289" s="37" t="str">
        <f t="shared" si="38"/>
        <v/>
      </c>
    </row>
    <row r="290" spans="2:29" x14ac:dyDescent="0.25">
      <c r="B290" s="54">
        <v>284</v>
      </c>
      <c r="C290" s="168"/>
      <c r="D290" s="51"/>
      <c r="E290" s="29"/>
      <c r="F290" s="48"/>
      <c r="G290" s="29"/>
      <c r="H290" s="187"/>
      <c r="I290" s="187"/>
      <c r="J290" s="195"/>
      <c r="K290" s="86" t="str">
        <f t="shared" si="32"/>
        <v/>
      </c>
      <c r="L290" s="57" t="str">
        <f t="shared" si="39"/>
        <v/>
      </c>
      <c r="M290" s="186"/>
      <c r="N290" s="189"/>
      <c r="O290" s="190"/>
      <c r="P290" s="190" t="str">
        <f>IF(OR(ISBLANK(V290),COUNTBLANK(V290:$V$1048576)=ROWS(V290:$V$1048576)),"",$R$2*(1+SUM(V$7:V290)))</f>
        <v/>
      </c>
      <c r="Q290" s="191"/>
      <c r="R290" s="189"/>
      <c r="S290" s="53" t="str">
        <f t="shared" si="33"/>
        <v/>
      </c>
      <c r="T290" s="63" t="str">
        <f t="shared" si="34"/>
        <v/>
      </c>
      <c r="U290" s="64" t="str">
        <f>IF(OR(ISBLANK(Trades!R290), ISBLANK(Trades!H290), ISBLANK(Trades!I290)), "", IF(Trades!H290=Trades!I290, "N/A", (Trades!R290-Trades!H290)/(Trades!H290-Trades!I290)))</f>
        <v/>
      </c>
      <c r="V290" s="65" t="str">
        <f t="shared" si="35"/>
        <v/>
      </c>
      <c r="W290" s="66" t="str">
        <f t="shared" si="36"/>
        <v/>
      </c>
      <c r="X290" s="62" t="str">
        <f t="shared" si="37"/>
        <v/>
      </c>
      <c r="Y290" s="45"/>
      <c r="Z290" s="44"/>
      <c r="AA290" s="41"/>
      <c r="AB290" s="39"/>
      <c r="AC290" s="37" t="str">
        <f t="shared" si="38"/>
        <v/>
      </c>
    </row>
    <row r="291" spans="2:29" x14ac:dyDescent="0.25">
      <c r="B291" s="54">
        <v>285</v>
      </c>
      <c r="C291" s="168"/>
      <c r="D291" s="51"/>
      <c r="E291" s="29"/>
      <c r="F291" s="48"/>
      <c r="G291" s="29"/>
      <c r="H291" s="187"/>
      <c r="I291" s="187"/>
      <c r="J291" s="195"/>
      <c r="K291" s="86" t="str">
        <f t="shared" si="32"/>
        <v/>
      </c>
      <c r="L291" s="57" t="str">
        <f t="shared" si="39"/>
        <v/>
      </c>
      <c r="M291" s="186"/>
      <c r="N291" s="189"/>
      <c r="O291" s="190"/>
      <c r="P291" s="190" t="str">
        <f>IF(OR(ISBLANK(V291),COUNTBLANK(V291:$V$1048576)=ROWS(V291:$V$1048576)),"",$R$2*(1+SUM(V$7:V291)))</f>
        <v/>
      </c>
      <c r="Q291" s="191"/>
      <c r="R291" s="189"/>
      <c r="S291" s="53" t="str">
        <f t="shared" si="33"/>
        <v/>
      </c>
      <c r="T291" s="63" t="str">
        <f t="shared" si="34"/>
        <v/>
      </c>
      <c r="U291" s="64" t="str">
        <f>IF(OR(ISBLANK(Trades!R291), ISBLANK(Trades!H291), ISBLANK(Trades!I291)), "", IF(Trades!H291=Trades!I291, "N/A", (Trades!R291-Trades!H291)/(Trades!H291-Trades!I291)))</f>
        <v/>
      </c>
      <c r="V291" s="65" t="str">
        <f t="shared" si="35"/>
        <v/>
      </c>
      <c r="W291" s="66" t="str">
        <f t="shared" si="36"/>
        <v/>
      </c>
      <c r="X291" s="62" t="str">
        <f t="shared" si="37"/>
        <v/>
      </c>
      <c r="Y291" s="45"/>
      <c r="Z291" s="44"/>
      <c r="AA291" s="41"/>
      <c r="AB291" s="39"/>
      <c r="AC291" s="37" t="str">
        <f t="shared" si="38"/>
        <v/>
      </c>
    </row>
    <row r="292" spans="2:29" x14ac:dyDescent="0.25">
      <c r="B292" s="54">
        <v>286</v>
      </c>
      <c r="C292" s="168"/>
      <c r="D292" s="51"/>
      <c r="E292" s="29"/>
      <c r="F292" s="48"/>
      <c r="G292" s="29"/>
      <c r="H292" s="187"/>
      <c r="I292" s="187"/>
      <c r="J292" s="195"/>
      <c r="K292" s="86" t="str">
        <f t="shared" si="32"/>
        <v/>
      </c>
      <c r="L292" s="57" t="str">
        <f t="shared" si="39"/>
        <v/>
      </c>
      <c r="M292" s="186"/>
      <c r="N292" s="189"/>
      <c r="O292" s="190"/>
      <c r="P292" s="190" t="str">
        <f>IF(OR(ISBLANK(V292),COUNTBLANK(V292:$V$1048576)=ROWS(V292:$V$1048576)),"",$R$2*(1+SUM(V$7:V292)))</f>
        <v/>
      </c>
      <c r="Q292" s="191"/>
      <c r="R292" s="189"/>
      <c r="S292" s="53" t="str">
        <f t="shared" si="33"/>
        <v/>
      </c>
      <c r="T292" s="63" t="str">
        <f t="shared" si="34"/>
        <v/>
      </c>
      <c r="U292" s="64" t="str">
        <f>IF(OR(ISBLANK(Trades!R292), ISBLANK(Trades!H292), ISBLANK(Trades!I292)), "", IF(Trades!H292=Trades!I292, "N/A", (Trades!R292-Trades!H292)/(Trades!H292-Trades!I292)))</f>
        <v/>
      </c>
      <c r="V292" s="65" t="str">
        <f t="shared" si="35"/>
        <v/>
      </c>
      <c r="W292" s="66" t="str">
        <f t="shared" si="36"/>
        <v/>
      </c>
      <c r="X292" s="62" t="str">
        <f t="shared" si="37"/>
        <v/>
      </c>
      <c r="Y292" s="45"/>
      <c r="Z292" s="44"/>
      <c r="AA292" s="41"/>
      <c r="AB292" s="39"/>
      <c r="AC292" s="37" t="str">
        <f t="shared" si="38"/>
        <v/>
      </c>
    </row>
    <row r="293" spans="2:29" x14ac:dyDescent="0.25">
      <c r="B293" s="54">
        <v>287</v>
      </c>
      <c r="C293" s="168"/>
      <c r="D293" s="51"/>
      <c r="E293" s="29"/>
      <c r="F293" s="48"/>
      <c r="G293" s="29"/>
      <c r="H293" s="187"/>
      <c r="I293" s="187"/>
      <c r="J293" s="195"/>
      <c r="K293" s="86" t="str">
        <f t="shared" si="32"/>
        <v/>
      </c>
      <c r="L293" s="57" t="str">
        <f t="shared" si="39"/>
        <v/>
      </c>
      <c r="M293" s="186"/>
      <c r="N293" s="189"/>
      <c r="O293" s="190"/>
      <c r="P293" s="190" t="str">
        <f>IF(OR(ISBLANK(V293),COUNTBLANK(V293:$V$1048576)=ROWS(V293:$V$1048576)),"",$R$2*(1+SUM(V$7:V293)))</f>
        <v/>
      </c>
      <c r="Q293" s="191"/>
      <c r="R293" s="189"/>
      <c r="S293" s="53" t="str">
        <f t="shared" si="33"/>
        <v/>
      </c>
      <c r="T293" s="63" t="str">
        <f t="shared" si="34"/>
        <v/>
      </c>
      <c r="U293" s="64" t="str">
        <f>IF(OR(ISBLANK(Trades!R293), ISBLANK(Trades!H293), ISBLANK(Trades!I293)), "", IF(Trades!H293=Trades!I293, "N/A", (Trades!R293-Trades!H293)/(Trades!H293-Trades!I293)))</f>
        <v/>
      </c>
      <c r="V293" s="65" t="str">
        <f t="shared" si="35"/>
        <v/>
      </c>
      <c r="W293" s="66" t="str">
        <f t="shared" si="36"/>
        <v/>
      </c>
      <c r="X293" s="62" t="str">
        <f t="shared" si="37"/>
        <v/>
      </c>
      <c r="Y293" s="45"/>
      <c r="Z293" s="44"/>
      <c r="AA293" s="41"/>
      <c r="AB293" s="39"/>
      <c r="AC293" s="37" t="str">
        <f t="shared" si="38"/>
        <v/>
      </c>
    </row>
    <row r="294" spans="2:29" x14ac:dyDescent="0.25">
      <c r="B294" s="54">
        <v>288</v>
      </c>
      <c r="C294" s="168"/>
      <c r="D294" s="51"/>
      <c r="E294" s="29"/>
      <c r="F294" s="48"/>
      <c r="G294" s="29"/>
      <c r="H294" s="187"/>
      <c r="I294" s="187"/>
      <c r="J294" s="195"/>
      <c r="K294" s="86" t="str">
        <f t="shared" si="32"/>
        <v/>
      </c>
      <c r="L294" s="57" t="str">
        <f t="shared" si="39"/>
        <v/>
      </c>
      <c r="M294" s="186"/>
      <c r="N294" s="189"/>
      <c r="O294" s="190"/>
      <c r="P294" s="190" t="str">
        <f>IF(OR(ISBLANK(V294),COUNTBLANK(V294:$V$1048576)=ROWS(V294:$V$1048576)),"",$R$2*(1+SUM(V$7:V294)))</f>
        <v/>
      </c>
      <c r="Q294" s="191"/>
      <c r="R294" s="189"/>
      <c r="S294" s="53" t="str">
        <f t="shared" si="33"/>
        <v/>
      </c>
      <c r="T294" s="63" t="str">
        <f t="shared" si="34"/>
        <v/>
      </c>
      <c r="U294" s="64" t="str">
        <f>IF(OR(ISBLANK(Trades!R294), ISBLANK(Trades!H294), ISBLANK(Trades!I294)), "", IF(Trades!H294=Trades!I294, "N/A", (Trades!R294-Trades!H294)/(Trades!H294-Trades!I294)))</f>
        <v/>
      </c>
      <c r="V294" s="65" t="str">
        <f t="shared" si="35"/>
        <v/>
      </c>
      <c r="W294" s="66" t="str">
        <f t="shared" si="36"/>
        <v/>
      </c>
      <c r="X294" s="62" t="str">
        <f t="shared" si="37"/>
        <v/>
      </c>
      <c r="Y294" s="45"/>
      <c r="Z294" s="44"/>
      <c r="AA294" s="41"/>
      <c r="AB294" s="39"/>
      <c r="AC294" s="37" t="str">
        <f t="shared" si="38"/>
        <v/>
      </c>
    </row>
    <row r="295" spans="2:29" x14ac:dyDescent="0.25">
      <c r="B295" s="54">
        <v>289</v>
      </c>
      <c r="C295" s="168"/>
      <c r="D295" s="51"/>
      <c r="E295" s="29"/>
      <c r="F295" s="48"/>
      <c r="G295" s="29"/>
      <c r="H295" s="187"/>
      <c r="I295" s="187"/>
      <c r="J295" s="195"/>
      <c r="K295" s="86" t="str">
        <f t="shared" si="32"/>
        <v/>
      </c>
      <c r="L295" s="57" t="str">
        <f t="shared" si="39"/>
        <v/>
      </c>
      <c r="M295" s="186"/>
      <c r="N295" s="189"/>
      <c r="O295" s="190"/>
      <c r="P295" s="190" t="str">
        <f>IF(OR(ISBLANK(V295),COUNTBLANK(V295:$V$1048576)=ROWS(V295:$V$1048576)),"",$R$2*(1+SUM(V$7:V295)))</f>
        <v/>
      </c>
      <c r="Q295" s="191"/>
      <c r="R295" s="189"/>
      <c r="S295" s="53" t="str">
        <f t="shared" si="33"/>
        <v/>
      </c>
      <c r="T295" s="63" t="str">
        <f t="shared" si="34"/>
        <v/>
      </c>
      <c r="U295" s="64" t="str">
        <f>IF(OR(ISBLANK(Trades!R295), ISBLANK(Trades!H295), ISBLANK(Trades!I295)), "", IF(Trades!H295=Trades!I295, "N/A", (Trades!R295-Trades!H295)/(Trades!H295-Trades!I295)))</f>
        <v/>
      </c>
      <c r="V295" s="65" t="str">
        <f t="shared" si="35"/>
        <v/>
      </c>
      <c r="W295" s="66" t="str">
        <f t="shared" si="36"/>
        <v/>
      </c>
      <c r="X295" s="62" t="str">
        <f t="shared" si="37"/>
        <v/>
      </c>
      <c r="Y295" s="45"/>
      <c r="Z295" s="44"/>
      <c r="AA295" s="41"/>
      <c r="AB295" s="39"/>
      <c r="AC295" s="37" t="str">
        <f t="shared" si="38"/>
        <v/>
      </c>
    </row>
    <row r="296" spans="2:29" x14ac:dyDescent="0.25">
      <c r="B296" s="54">
        <v>290</v>
      </c>
      <c r="C296" s="168"/>
      <c r="D296" s="51"/>
      <c r="E296" s="29"/>
      <c r="F296" s="48"/>
      <c r="G296" s="29"/>
      <c r="H296" s="187"/>
      <c r="I296" s="187"/>
      <c r="J296" s="195"/>
      <c r="K296" s="86" t="str">
        <f t="shared" si="32"/>
        <v/>
      </c>
      <c r="L296" s="57" t="str">
        <f t="shared" si="39"/>
        <v/>
      </c>
      <c r="M296" s="186"/>
      <c r="N296" s="189"/>
      <c r="O296" s="190"/>
      <c r="P296" s="190" t="str">
        <f>IF(OR(ISBLANK(V296),COUNTBLANK(V296:$V$1048576)=ROWS(V296:$V$1048576)),"",$R$2*(1+SUM(V$7:V296)))</f>
        <v/>
      </c>
      <c r="Q296" s="191"/>
      <c r="R296" s="189"/>
      <c r="S296" s="53" t="str">
        <f t="shared" si="33"/>
        <v/>
      </c>
      <c r="T296" s="63" t="str">
        <f t="shared" si="34"/>
        <v/>
      </c>
      <c r="U296" s="64" t="str">
        <f>IF(OR(ISBLANK(Trades!R296), ISBLANK(Trades!H296), ISBLANK(Trades!I296)), "", IF(Trades!H296=Trades!I296, "N/A", (Trades!R296-Trades!H296)/(Trades!H296-Trades!I296)))</f>
        <v/>
      </c>
      <c r="V296" s="65" t="str">
        <f t="shared" si="35"/>
        <v/>
      </c>
      <c r="W296" s="66" t="str">
        <f t="shared" si="36"/>
        <v/>
      </c>
      <c r="X296" s="62" t="str">
        <f t="shared" si="37"/>
        <v/>
      </c>
      <c r="Y296" s="45"/>
      <c r="Z296" s="44"/>
      <c r="AA296" s="41"/>
      <c r="AB296" s="39"/>
      <c r="AC296" s="37" t="str">
        <f t="shared" si="38"/>
        <v/>
      </c>
    </row>
    <row r="297" spans="2:29" x14ac:dyDescent="0.25">
      <c r="B297" s="54">
        <v>291</v>
      </c>
      <c r="C297" s="168"/>
      <c r="D297" s="51"/>
      <c r="E297" s="29"/>
      <c r="F297" s="48"/>
      <c r="G297" s="29"/>
      <c r="H297" s="187"/>
      <c r="I297" s="187"/>
      <c r="J297" s="195"/>
      <c r="K297" s="86" t="str">
        <f t="shared" si="32"/>
        <v/>
      </c>
      <c r="L297" s="57" t="str">
        <f t="shared" si="39"/>
        <v/>
      </c>
      <c r="M297" s="186"/>
      <c r="N297" s="189"/>
      <c r="O297" s="190"/>
      <c r="P297" s="190" t="str">
        <f>IF(OR(ISBLANK(V297),COUNTBLANK(V297:$V$1048576)=ROWS(V297:$V$1048576)),"",$R$2*(1+SUM(V$7:V297)))</f>
        <v/>
      </c>
      <c r="Q297" s="191"/>
      <c r="R297" s="189"/>
      <c r="S297" s="53" t="str">
        <f t="shared" si="33"/>
        <v/>
      </c>
      <c r="T297" s="63" t="str">
        <f t="shared" si="34"/>
        <v/>
      </c>
      <c r="U297" s="64" t="str">
        <f>IF(OR(ISBLANK(Trades!R297), ISBLANK(Trades!H297), ISBLANK(Trades!I297)), "", IF(Trades!H297=Trades!I297, "N/A", (Trades!R297-Trades!H297)/(Trades!H297-Trades!I297)))</f>
        <v/>
      </c>
      <c r="V297" s="65" t="str">
        <f t="shared" si="35"/>
        <v/>
      </c>
      <c r="W297" s="66" t="str">
        <f t="shared" si="36"/>
        <v/>
      </c>
      <c r="X297" s="62" t="str">
        <f t="shared" si="37"/>
        <v/>
      </c>
      <c r="Y297" s="45"/>
      <c r="Z297" s="44"/>
      <c r="AA297" s="41"/>
      <c r="AB297" s="39"/>
      <c r="AC297" s="37" t="str">
        <f t="shared" si="38"/>
        <v/>
      </c>
    </row>
    <row r="298" spans="2:29" x14ac:dyDescent="0.25">
      <c r="B298" s="54">
        <v>292</v>
      </c>
      <c r="C298" s="168"/>
      <c r="D298" s="51"/>
      <c r="E298" s="29"/>
      <c r="F298" s="48"/>
      <c r="G298" s="29"/>
      <c r="H298" s="187"/>
      <c r="I298" s="187"/>
      <c r="J298" s="195"/>
      <c r="K298" s="86" t="str">
        <f t="shared" si="32"/>
        <v/>
      </c>
      <c r="L298" s="57" t="str">
        <f t="shared" si="39"/>
        <v/>
      </c>
      <c r="M298" s="186"/>
      <c r="N298" s="189"/>
      <c r="O298" s="190"/>
      <c r="P298" s="190" t="str">
        <f>IF(OR(ISBLANK(V298),COUNTBLANK(V298:$V$1048576)=ROWS(V298:$V$1048576)),"",$R$2*(1+SUM(V$7:V298)))</f>
        <v/>
      </c>
      <c r="Q298" s="191"/>
      <c r="R298" s="189"/>
      <c r="S298" s="53" t="str">
        <f t="shared" si="33"/>
        <v/>
      </c>
      <c r="T298" s="63" t="str">
        <f t="shared" si="34"/>
        <v/>
      </c>
      <c r="U298" s="64" t="str">
        <f>IF(OR(ISBLANK(Trades!R298), ISBLANK(Trades!H298), ISBLANK(Trades!I298)), "", IF(Trades!H298=Trades!I298, "N/A", (Trades!R298-Trades!H298)/(Trades!H298-Trades!I298)))</f>
        <v/>
      </c>
      <c r="V298" s="65" t="str">
        <f t="shared" si="35"/>
        <v/>
      </c>
      <c r="W298" s="66" t="str">
        <f t="shared" si="36"/>
        <v/>
      </c>
      <c r="X298" s="62" t="str">
        <f t="shared" si="37"/>
        <v/>
      </c>
      <c r="Y298" s="45"/>
      <c r="Z298" s="44"/>
      <c r="AA298" s="41"/>
      <c r="AB298" s="39"/>
      <c r="AC298" s="37" t="str">
        <f t="shared" si="38"/>
        <v/>
      </c>
    </row>
    <row r="299" spans="2:29" x14ac:dyDescent="0.25">
      <c r="B299" s="54">
        <v>293</v>
      </c>
      <c r="C299" s="168"/>
      <c r="D299" s="51"/>
      <c r="E299" s="29"/>
      <c r="F299" s="48"/>
      <c r="G299" s="29"/>
      <c r="H299" s="187"/>
      <c r="I299" s="187"/>
      <c r="J299" s="195"/>
      <c r="K299" s="86" t="str">
        <f t="shared" si="32"/>
        <v/>
      </c>
      <c r="L299" s="57" t="str">
        <f t="shared" si="39"/>
        <v/>
      </c>
      <c r="M299" s="186"/>
      <c r="N299" s="189"/>
      <c r="O299" s="190"/>
      <c r="P299" s="190" t="str">
        <f>IF(OR(ISBLANK(V299),COUNTBLANK(V299:$V$1048576)=ROWS(V299:$V$1048576)),"",$R$2*(1+SUM(V$7:V299)))</f>
        <v/>
      </c>
      <c r="Q299" s="191"/>
      <c r="R299" s="189"/>
      <c r="S299" s="53" t="str">
        <f t="shared" si="33"/>
        <v/>
      </c>
      <c r="T299" s="63" t="str">
        <f t="shared" si="34"/>
        <v/>
      </c>
      <c r="U299" s="64" t="str">
        <f>IF(OR(ISBLANK(Trades!R299), ISBLANK(Trades!H299), ISBLANK(Trades!I299)), "", IF(Trades!H299=Trades!I299, "N/A", (Trades!R299-Trades!H299)/(Trades!H299-Trades!I299)))</f>
        <v/>
      </c>
      <c r="V299" s="65" t="str">
        <f t="shared" si="35"/>
        <v/>
      </c>
      <c r="W299" s="66" t="str">
        <f t="shared" si="36"/>
        <v/>
      </c>
      <c r="X299" s="62" t="str">
        <f t="shared" si="37"/>
        <v/>
      </c>
      <c r="Y299" s="45"/>
      <c r="Z299" s="44"/>
      <c r="AA299" s="41"/>
      <c r="AB299" s="39"/>
      <c r="AC299" s="37" t="str">
        <f t="shared" si="38"/>
        <v/>
      </c>
    </row>
    <row r="300" spans="2:29" x14ac:dyDescent="0.25">
      <c r="B300" s="54">
        <v>294</v>
      </c>
      <c r="C300" s="168"/>
      <c r="D300" s="51"/>
      <c r="E300" s="29"/>
      <c r="F300" s="48"/>
      <c r="G300" s="29"/>
      <c r="H300" s="187"/>
      <c r="I300" s="187"/>
      <c r="J300" s="195"/>
      <c r="K300" s="86" t="str">
        <f t="shared" si="32"/>
        <v/>
      </c>
      <c r="L300" s="57" t="str">
        <f t="shared" si="39"/>
        <v/>
      </c>
      <c r="M300" s="186"/>
      <c r="N300" s="189"/>
      <c r="O300" s="190"/>
      <c r="P300" s="190" t="str">
        <f>IF(OR(ISBLANK(V300),COUNTBLANK(V300:$V$1048576)=ROWS(V300:$V$1048576)),"",$R$2*(1+SUM(V$7:V300)))</f>
        <v/>
      </c>
      <c r="Q300" s="191"/>
      <c r="R300" s="189"/>
      <c r="S300" s="53" t="str">
        <f t="shared" si="33"/>
        <v/>
      </c>
      <c r="T300" s="63" t="str">
        <f t="shared" si="34"/>
        <v/>
      </c>
      <c r="U300" s="64" t="str">
        <f>IF(OR(ISBLANK(Trades!R300), ISBLANK(Trades!H300), ISBLANK(Trades!I300)), "", IF(Trades!H300=Trades!I300, "N/A", (Trades!R300-Trades!H300)/(Trades!H300-Trades!I300)))</f>
        <v/>
      </c>
      <c r="V300" s="65" t="str">
        <f t="shared" si="35"/>
        <v/>
      </c>
      <c r="W300" s="66" t="str">
        <f t="shared" si="36"/>
        <v/>
      </c>
      <c r="X300" s="62" t="str">
        <f t="shared" si="37"/>
        <v/>
      </c>
      <c r="Y300" s="45"/>
      <c r="Z300" s="44"/>
      <c r="AA300" s="41"/>
      <c r="AB300" s="39"/>
      <c r="AC300" s="37" t="str">
        <f t="shared" si="38"/>
        <v/>
      </c>
    </row>
    <row r="301" spans="2:29" x14ac:dyDescent="0.25">
      <c r="B301" s="54">
        <v>295</v>
      </c>
      <c r="C301" s="168"/>
      <c r="D301" s="51"/>
      <c r="E301" s="29"/>
      <c r="F301" s="48"/>
      <c r="G301" s="29"/>
      <c r="H301" s="187"/>
      <c r="I301" s="187"/>
      <c r="J301" s="195"/>
      <c r="K301" s="86" t="str">
        <f t="shared" si="32"/>
        <v/>
      </c>
      <c r="L301" s="57" t="str">
        <f t="shared" si="39"/>
        <v/>
      </c>
      <c r="M301" s="186"/>
      <c r="N301" s="189"/>
      <c r="O301" s="190"/>
      <c r="P301" s="190" t="str">
        <f>IF(OR(ISBLANK(V301),COUNTBLANK(V301:$V$1048576)=ROWS(V301:$V$1048576)),"",$R$2*(1+SUM(V$7:V301)))</f>
        <v/>
      </c>
      <c r="Q301" s="191"/>
      <c r="R301" s="189"/>
      <c r="S301" s="53" t="str">
        <f t="shared" si="33"/>
        <v/>
      </c>
      <c r="T301" s="63" t="str">
        <f t="shared" si="34"/>
        <v/>
      </c>
      <c r="U301" s="64" t="str">
        <f>IF(OR(ISBLANK(Trades!R301), ISBLANK(Trades!H301), ISBLANK(Trades!I301)), "", IF(Trades!H301=Trades!I301, "N/A", (Trades!R301-Trades!H301)/(Trades!H301-Trades!I301)))</f>
        <v/>
      </c>
      <c r="V301" s="65" t="str">
        <f t="shared" si="35"/>
        <v/>
      </c>
      <c r="W301" s="66" t="str">
        <f t="shared" si="36"/>
        <v/>
      </c>
      <c r="X301" s="62" t="str">
        <f t="shared" si="37"/>
        <v/>
      </c>
      <c r="Y301" s="45"/>
      <c r="Z301" s="44"/>
      <c r="AA301" s="41"/>
      <c r="AB301" s="39"/>
      <c r="AC301" s="37" t="str">
        <f t="shared" si="38"/>
        <v/>
      </c>
    </row>
    <row r="302" spans="2:29" x14ac:dyDescent="0.25">
      <c r="B302" s="54">
        <v>296</v>
      </c>
      <c r="C302" s="168"/>
      <c r="D302" s="51"/>
      <c r="E302" s="29"/>
      <c r="F302" s="48"/>
      <c r="G302" s="29"/>
      <c r="H302" s="187"/>
      <c r="I302" s="187"/>
      <c r="J302" s="195"/>
      <c r="K302" s="86" t="str">
        <f t="shared" si="32"/>
        <v/>
      </c>
      <c r="L302" s="57" t="str">
        <f t="shared" si="39"/>
        <v/>
      </c>
      <c r="M302" s="186"/>
      <c r="N302" s="189"/>
      <c r="O302" s="190"/>
      <c r="P302" s="190" t="str">
        <f>IF(OR(ISBLANK(V302),COUNTBLANK(V302:$V$1048576)=ROWS(V302:$V$1048576)),"",$R$2*(1+SUM(V$7:V302)))</f>
        <v/>
      </c>
      <c r="Q302" s="191"/>
      <c r="R302" s="189"/>
      <c r="S302" s="53" t="str">
        <f t="shared" si="33"/>
        <v/>
      </c>
      <c r="T302" s="63" t="str">
        <f t="shared" si="34"/>
        <v/>
      </c>
      <c r="U302" s="64" t="str">
        <f>IF(OR(ISBLANK(Trades!R302), ISBLANK(Trades!H302), ISBLANK(Trades!I302)), "", IF(Trades!H302=Trades!I302, "N/A", (Trades!R302-Trades!H302)/(Trades!H302-Trades!I302)))</f>
        <v/>
      </c>
      <c r="V302" s="65" t="str">
        <f t="shared" si="35"/>
        <v/>
      </c>
      <c r="W302" s="66" t="str">
        <f t="shared" si="36"/>
        <v/>
      </c>
      <c r="X302" s="62" t="str">
        <f t="shared" si="37"/>
        <v/>
      </c>
      <c r="Y302" s="45"/>
      <c r="Z302" s="44"/>
      <c r="AA302" s="41"/>
      <c r="AB302" s="39"/>
      <c r="AC302" s="37" t="str">
        <f t="shared" si="38"/>
        <v/>
      </c>
    </row>
    <row r="303" spans="2:29" x14ac:dyDescent="0.25">
      <c r="B303" s="54">
        <v>297</v>
      </c>
      <c r="C303" s="168"/>
      <c r="D303" s="51"/>
      <c r="E303" s="29"/>
      <c r="F303" s="48"/>
      <c r="G303" s="29"/>
      <c r="H303" s="187"/>
      <c r="I303" s="187"/>
      <c r="J303" s="195"/>
      <c r="K303" s="86" t="str">
        <f t="shared" si="32"/>
        <v/>
      </c>
      <c r="L303" s="57" t="str">
        <f t="shared" si="39"/>
        <v/>
      </c>
      <c r="M303" s="186"/>
      <c r="N303" s="189"/>
      <c r="O303" s="190"/>
      <c r="P303" s="190" t="str">
        <f>IF(OR(ISBLANK(V303),COUNTBLANK(V303:$V$1048576)=ROWS(V303:$V$1048576)),"",$R$2*(1+SUM(V$7:V303)))</f>
        <v/>
      </c>
      <c r="Q303" s="191"/>
      <c r="R303" s="189"/>
      <c r="S303" s="53" t="str">
        <f t="shared" si="33"/>
        <v/>
      </c>
      <c r="T303" s="63" t="str">
        <f t="shared" si="34"/>
        <v/>
      </c>
      <c r="U303" s="64" t="str">
        <f>IF(OR(ISBLANK(Trades!R303), ISBLANK(Trades!H303), ISBLANK(Trades!I303)), "", IF(Trades!H303=Trades!I303, "N/A", (Trades!R303-Trades!H303)/(Trades!H303-Trades!I303)))</f>
        <v/>
      </c>
      <c r="V303" s="65" t="str">
        <f t="shared" si="35"/>
        <v/>
      </c>
      <c r="W303" s="66" t="str">
        <f t="shared" si="36"/>
        <v/>
      </c>
      <c r="X303" s="62" t="str">
        <f t="shared" si="37"/>
        <v/>
      </c>
      <c r="Y303" s="45"/>
      <c r="Z303" s="44"/>
      <c r="AA303" s="41"/>
      <c r="AB303" s="39"/>
      <c r="AC303" s="37" t="str">
        <f t="shared" si="38"/>
        <v/>
      </c>
    </row>
    <row r="304" spans="2:29" x14ac:dyDescent="0.25">
      <c r="B304" s="54">
        <v>298</v>
      </c>
      <c r="C304" s="168"/>
      <c r="D304" s="51"/>
      <c r="E304" s="29"/>
      <c r="F304" s="48"/>
      <c r="G304" s="29"/>
      <c r="H304" s="187"/>
      <c r="I304" s="187"/>
      <c r="J304" s="195"/>
      <c r="K304" s="86" t="str">
        <f t="shared" si="32"/>
        <v/>
      </c>
      <c r="L304" s="57" t="str">
        <f t="shared" si="39"/>
        <v/>
      </c>
      <c r="M304" s="186"/>
      <c r="N304" s="189"/>
      <c r="O304" s="190"/>
      <c r="P304" s="190" t="str">
        <f>IF(OR(ISBLANK(V304),COUNTBLANK(V304:$V$1048576)=ROWS(V304:$V$1048576)),"",$R$2*(1+SUM(V$7:V304)))</f>
        <v/>
      </c>
      <c r="Q304" s="191"/>
      <c r="R304" s="189"/>
      <c r="S304" s="53" t="str">
        <f t="shared" si="33"/>
        <v/>
      </c>
      <c r="T304" s="63" t="str">
        <f t="shared" si="34"/>
        <v/>
      </c>
      <c r="U304" s="64" t="str">
        <f>IF(OR(ISBLANK(Trades!R304), ISBLANK(Trades!H304), ISBLANK(Trades!I304)), "", IF(Trades!H304=Trades!I304, "N/A", (Trades!R304-Trades!H304)/(Trades!H304-Trades!I304)))</f>
        <v/>
      </c>
      <c r="V304" s="65" t="str">
        <f t="shared" si="35"/>
        <v/>
      </c>
      <c r="W304" s="66" t="str">
        <f t="shared" si="36"/>
        <v/>
      </c>
      <c r="X304" s="62" t="str">
        <f t="shared" si="37"/>
        <v/>
      </c>
      <c r="Y304" s="45"/>
      <c r="Z304" s="44"/>
      <c r="AA304" s="41"/>
      <c r="AB304" s="39"/>
      <c r="AC304" s="37" t="str">
        <f t="shared" si="38"/>
        <v/>
      </c>
    </row>
    <row r="305" spans="2:29" x14ac:dyDescent="0.25">
      <c r="B305" s="54">
        <v>299</v>
      </c>
      <c r="C305" s="168"/>
      <c r="D305" s="51"/>
      <c r="E305" s="29"/>
      <c r="F305" s="48"/>
      <c r="G305" s="29"/>
      <c r="H305" s="187"/>
      <c r="I305" s="187"/>
      <c r="J305" s="195"/>
      <c r="K305" s="86" t="str">
        <f t="shared" si="32"/>
        <v/>
      </c>
      <c r="L305" s="57" t="str">
        <f t="shared" si="39"/>
        <v/>
      </c>
      <c r="M305" s="186"/>
      <c r="N305" s="189"/>
      <c r="O305" s="190"/>
      <c r="P305" s="190" t="str">
        <f>IF(OR(ISBLANK(V305),COUNTBLANK(V305:$V$1048576)=ROWS(V305:$V$1048576)),"",$R$2*(1+SUM(V$7:V305)))</f>
        <v/>
      </c>
      <c r="Q305" s="191"/>
      <c r="R305" s="189"/>
      <c r="S305" s="53" t="str">
        <f t="shared" si="33"/>
        <v/>
      </c>
      <c r="T305" s="63" t="str">
        <f t="shared" si="34"/>
        <v/>
      </c>
      <c r="U305" s="64" t="str">
        <f>IF(OR(ISBLANK(Trades!R305), ISBLANK(Trades!H305), ISBLANK(Trades!I305)), "", IF(Trades!H305=Trades!I305, "N/A", (Trades!R305-Trades!H305)/(Trades!H305-Trades!I305)))</f>
        <v/>
      </c>
      <c r="V305" s="65" t="str">
        <f t="shared" si="35"/>
        <v/>
      </c>
      <c r="W305" s="66" t="str">
        <f t="shared" si="36"/>
        <v/>
      </c>
      <c r="X305" s="62" t="str">
        <f t="shared" si="37"/>
        <v/>
      </c>
      <c r="Y305" s="45"/>
      <c r="Z305" s="44"/>
      <c r="AA305" s="41"/>
      <c r="AB305" s="39"/>
      <c r="AC305" s="37" t="str">
        <f t="shared" si="38"/>
        <v/>
      </c>
    </row>
    <row r="306" spans="2:29" x14ac:dyDescent="0.25">
      <c r="B306" s="54">
        <v>300</v>
      </c>
      <c r="C306" s="168"/>
      <c r="D306" s="51"/>
      <c r="E306" s="29"/>
      <c r="F306" s="48"/>
      <c r="G306" s="29"/>
      <c r="H306" s="187"/>
      <c r="I306" s="187"/>
      <c r="J306" s="195"/>
      <c r="K306" s="86" t="str">
        <f t="shared" si="32"/>
        <v/>
      </c>
      <c r="L306" s="57" t="str">
        <f t="shared" si="39"/>
        <v/>
      </c>
      <c r="M306" s="186"/>
      <c r="N306" s="189"/>
      <c r="O306" s="190"/>
      <c r="P306" s="190" t="str">
        <f>IF(OR(ISBLANK(V306),COUNTBLANK(V306:$V$1048576)=ROWS(V306:$V$1048576)),"",$R$2*(1+SUM(V$7:V306)))</f>
        <v/>
      </c>
      <c r="Q306" s="191"/>
      <c r="R306" s="189"/>
      <c r="S306" s="53" t="str">
        <f t="shared" si="33"/>
        <v/>
      </c>
      <c r="T306" s="63" t="str">
        <f t="shared" si="34"/>
        <v/>
      </c>
      <c r="U306" s="64" t="str">
        <f>IF(OR(ISBLANK(Trades!R306), ISBLANK(Trades!H306), ISBLANK(Trades!I306)), "", IF(Trades!H306=Trades!I306, "N/A", (Trades!R306-Trades!H306)/(Trades!H306-Trades!I306)))</f>
        <v/>
      </c>
      <c r="V306" s="65" t="str">
        <f t="shared" si="35"/>
        <v/>
      </c>
      <c r="W306" s="66" t="str">
        <f t="shared" si="36"/>
        <v/>
      </c>
      <c r="X306" s="62" t="str">
        <f t="shared" si="37"/>
        <v/>
      </c>
      <c r="Y306" s="45"/>
      <c r="Z306" s="44"/>
      <c r="AA306" s="41"/>
      <c r="AB306" s="39"/>
      <c r="AC306" s="37" t="str">
        <f t="shared" si="38"/>
        <v/>
      </c>
    </row>
    <row r="307" spans="2:29" x14ac:dyDescent="0.25">
      <c r="B307" s="54">
        <v>301</v>
      </c>
      <c r="C307" s="168"/>
      <c r="D307" s="51"/>
      <c r="E307" s="29"/>
      <c r="F307" s="48"/>
      <c r="G307" s="29"/>
      <c r="H307" s="187"/>
      <c r="I307" s="187"/>
      <c r="J307" s="195"/>
      <c r="K307" s="86" t="str">
        <f t="shared" si="32"/>
        <v/>
      </c>
      <c r="L307" s="57" t="str">
        <f t="shared" si="39"/>
        <v/>
      </c>
      <c r="M307" s="186"/>
      <c r="N307" s="189"/>
      <c r="O307" s="190"/>
      <c r="P307" s="190" t="str">
        <f>IF(OR(ISBLANK(V307),COUNTBLANK(V307:$V$1048576)=ROWS(V307:$V$1048576)),"",$R$2*(1+SUM(V$7:V307)))</f>
        <v/>
      </c>
      <c r="Q307" s="191"/>
      <c r="R307" s="189"/>
      <c r="S307" s="53" t="str">
        <f t="shared" si="33"/>
        <v/>
      </c>
      <c r="T307" s="63" t="str">
        <f t="shared" si="34"/>
        <v/>
      </c>
      <c r="U307" s="64" t="str">
        <f>IF(OR(ISBLANK(Trades!R307), ISBLANK(Trades!H307), ISBLANK(Trades!I307)), "", IF(Trades!H307=Trades!I307, "N/A", (Trades!R307-Trades!H307)/(Trades!H307-Trades!I307)))</f>
        <v/>
      </c>
      <c r="V307" s="65" t="str">
        <f t="shared" si="35"/>
        <v/>
      </c>
      <c r="W307" s="66" t="str">
        <f t="shared" si="36"/>
        <v/>
      </c>
      <c r="X307" s="62" t="str">
        <f t="shared" si="37"/>
        <v/>
      </c>
      <c r="Y307" s="45"/>
      <c r="Z307" s="44"/>
      <c r="AA307" s="41"/>
      <c r="AB307" s="39"/>
      <c r="AC307" s="37" t="str">
        <f t="shared" si="38"/>
        <v/>
      </c>
    </row>
    <row r="308" spans="2:29" x14ac:dyDescent="0.25">
      <c r="B308" s="54">
        <v>302</v>
      </c>
      <c r="C308" s="168"/>
      <c r="D308" s="51"/>
      <c r="E308" s="29"/>
      <c r="F308" s="48"/>
      <c r="G308" s="29"/>
      <c r="H308" s="187"/>
      <c r="I308" s="187"/>
      <c r="J308" s="195"/>
      <c r="K308" s="86" t="str">
        <f t="shared" si="32"/>
        <v/>
      </c>
      <c r="L308" s="57" t="str">
        <f t="shared" si="39"/>
        <v/>
      </c>
      <c r="M308" s="186"/>
      <c r="N308" s="189"/>
      <c r="O308" s="190"/>
      <c r="P308" s="190" t="str">
        <f>IF(OR(ISBLANK(V308),COUNTBLANK(V308:$V$1048576)=ROWS(V308:$V$1048576)),"",$R$2*(1+SUM(V$7:V308)))</f>
        <v/>
      </c>
      <c r="Q308" s="191"/>
      <c r="R308" s="189"/>
      <c r="S308" s="53" t="str">
        <f t="shared" si="33"/>
        <v/>
      </c>
      <c r="T308" s="63" t="str">
        <f t="shared" si="34"/>
        <v/>
      </c>
      <c r="U308" s="64" t="str">
        <f>IF(OR(ISBLANK(Trades!R308), ISBLANK(Trades!H308), ISBLANK(Trades!I308)), "", IF(Trades!H308=Trades!I308, "N/A", (Trades!R308-Trades!H308)/(Trades!H308-Trades!I308)))</f>
        <v/>
      </c>
      <c r="V308" s="65" t="str">
        <f t="shared" si="35"/>
        <v/>
      </c>
      <c r="W308" s="66" t="str">
        <f t="shared" si="36"/>
        <v/>
      </c>
      <c r="X308" s="62" t="str">
        <f t="shared" si="37"/>
        <v/>
      </c>
      <c r="Y308" s="45"/>
      <c r="Z308" s="44"/>
      <c r="AA308" s="41"/>
      <c r="AB308" s="39"/>
      <c r="AC308" s="37" t="str">
        <f t="shared" si="38"/>
        <v/>
      </c>
    </row>
    <row r="309" spans="2:29" x14ac:dyDescent="0.25">
      <c r="B309" s="54">
        <v>303</v>
      </c>
      <c r="C309" s="168"/>
      <c r="D309" s="51"/>
      <c r="E309" s="29"/>
      <c r="F309" s="48"/>
      <c r="G309" s="29"/>
      <c r="H309" s="187"/>
      <c r="I309" s="187"/>
      <c r="J309" s="195"/>
      <c r="K309" s="86" t="str">
        <f t="shared" si="32"/>
        <v/>
      </c>
      <c r="L309" s="57" t="str">
        <f t="shared" si="39"/>
        <v/>
      </c>
      <c r="M309" s="186"/>
      <c r="N309" s="189"/>
      <c r="O309" s="190"/>
      <c r="P309" s="190" t="str">
        <f>IF(OR(ISBLANK(V309),COUNTBLANK(V309:$V$1048576)=ROWS(V309:$V$1048576)),"",$R$2*(1+SUM(V$7:V309)))</f>
        <v/>
      </c>
      <c r="Q309" s="191"/>
      <c r="R309" s="189"/>
      <c r="S309" s="53" t="str">
        <f t="shared" si="33"/>
        <v/>
      </c>
      <c r="T309" s="63" t="str">
        <f t="shared" si="34"/>
        <v/>
      </c>
      <c r="U309" s="64" t="str">
        <f>IF(OR(ISBLANK(Trades!R309), ISBLANK(Trades!H309), ISBLANK(Trades!I309)), "", IF(Trades!H309=Trades!I309, "N/A", (Trades!R309-Trades!H309)/(Trades!H309-Trades!I309)))</f>
        <v/>
      </c>
      <c r="V309" s="65" t="str">
        <f t="shared" si="35"/>
        <v/>
      </c>
      <c r="W309" s="66" t="str">
        <f t="shared" si="36"/>
        <v/>
      </c>
      <c r="X309" s="62" t="str">
        <f t="shared" si="37"/>
        <v/>
      </c>
      <c r="Y309" s="45"/>
      <c r="Z309" s="44"/>
      <c r="AA309" s="41"/>
      <c r="AB309" s="39"/>
      <c r="AC309" s="37" t="str">
        <f t="shared" si="38"/>
        <v/>
      </c>
    </row>
    <row r="310" spans="2:29" x14ac:dyDescent="0.25">
      <c r="B310" s="54">
        <v>304</v>
      </c>
      <c r="C310" s="168"/>
      <c r="D310" s="51"/>
      <c r="E310" s="29"/>
      <c r="F310" s="48"/>
      <c r="G310" s="29"/>
      <c r="H310" s="187"/>
      <c r="I310" s="187"/>
      <c r="J310" s="195"/>
      <c r="K310" s="86" t="str">
        <f t="shared" si="32"/>
        <v/>
      </c>
      <c r="L310" s="57" t="str">
        <f t="shared" si="39"/>
        <v/>
      </c>
      <c r="M310" s="186"/>
      <c r="N310" s="189"/>
      <c r="O310" s="190"/>
      <c r="P310" s="190" t="str">
        <f>IF(OR(ISBLANK(V310),COUNTBLANK(V310:$V$1048576)=ROWS(V310:$V$1048576)),"",$R$2*(1+SUM(V$7:V310)))</f>
        <v/>
      </c>
      <c r="Q310" s="191"/>
      <c r="R310" s="189"/>
      <c r="S310" s="53" t="str">
        <f t="shared" si="33"/>
        <v/>
      </c>
      <c r="T310" s="63" t="str">
        <f t="shared" si="34"/>
        <v/>
      </c>
      <c r="U310" s="64" t="str">
        <f>IF(OR(ISBLANK(Trades!R310), ISBLANK(Trades!H310), ISBLANK(Trades!I310)), "", IF(Trades!H310=Trades!I310, "N/A", (Trades!R310-Trades!H310)/(Trades!H310-Trades!I310)))</f>
        <v/>
      </c>
      <c r="V310" s="65" t="str">
        <f t="shared" si="35"/>
        <v/>
      </c>
      <c r="W310" s="66" t="str">
        <f t="shared" si="36"/>
        <v/>
      </c>
      <c r="X310" s="62" t="str">
        <f t="shared" si="37"/>
        <v/>
      </c>
      <c r="Y310" s="45"/>
      <c r="Z310" s="44"/>
      <c r="AA310" s="41"/>
      <c r="AB310" s="39"/>
      <c r="AC310" s="37" t="str">
        <f t="shared" si="38"/>
        <v/>
      </c>
    </row>
    <row r="311" spans="2:29" x14ac:dyDescent="0.25">
      <c r="B311" s="54">
        <v>305</v>
      </c>
      <c r="C311" s="168"/>
      <c r="D311" s="51"/>
      <c r="E311" s="29"/>
      <c r="F311" s="48"/>
      <c r="G311" s="29"/>
      <c r="H311" s="187"/>
      <c r="I311" s="187"/>
      <c r="J311" s="195"/>
      <c r="K311" s="86" t="str">
        <f t="shared" si="32"/>
        <v/>
      </c>
      <c r="L311" s="57" t="str">
        <f t="shared" si="39"/>
        <v/>
      </c>
      <c r="M311" s="186"/>
      <c r="N311" s="189"/>
      <c r="O311" s="190"/>
      <c r="P311" s="190" t="str">
        <f>IF(OR(ISBLANK(V311),COUNTBLANK(V311:$V$1048576)=ROWS(V311:$V$1048576)),"",$R$2*(1+SUM(V$7:V311)))</f>
        <v/>
      </c>
      <c r="Q311" s="191"/>
      <c r="R311" s="189"/>
      <c r="S311" s="53" t="str">
        <f t="shared" si="33"/>
        <v/>
      </c>
      <c r="T311" s="63" t="str">
        <f t="shared" si="34"/>
        <v/>
      </c>
      <c r="U311" s="64" t="str">
        <f>IF(OR(ISBLANK(Trades!R311), ISBLANK(Trades!H311), ISBLANK(Trades!I311)), "", IF(Trades!H311=Trades!I311, "N/A", (Trades!R311-Trades!H311)/(Trades!H311-Trades!I311)))</f>
        <v/>
      </c>
      <c r="V311" s="65" t="str">
        <f t="shared" si="35"/>
        <v/>
      </c>
      <c r="W311" s="66" t="str">
        <f t="shared" si="36"/>
        <v/>
      </c>
      <c r="X311" s="62" t="str">
        <f t="shared" si="37"/>
        <v/>
      </c>
      <c r="Y311" s="45"/>
      <c r="Z311" s="44"/>
      <c r="AA311" s="41"/>
      <c r="AB311" s="39"/>
      <c r="AC311" s="37" t="str">
        <f t="shared" si="38"/>
        <v/>
      </c>
    </row>
    <row r="312" spans="2:29" x14ac:dyDescent="0.25">
      <c r="B312" s="54">
        <v>306</v>
      </c>
      <c r="C312" s="168"/>
      <c r="D312" s="51"/>
      <c r="E312" s="29"/>
      <c r="F312" s="48"/>
      <c r="G312" s="29"/>
      <c r="H312" s="187"/>
      <c r="I312" s="187"/>
      <c r="J312" s="195"/>
      <c r="K312" s="86" t="str">
        <f t="shared" si="32"/>
        <v/>
      </c>
      <c r="L312" s="57" t="str">
        <f t="shared" si="39"/>
        <v/>
      </c>
      <c r="M312" s="186"/>
      <c r="N312" s="189"/>
      <c r="O312" s="190"/>
      <c r="P312" s="190" t="str">
        <f>IF(OR(ISBLANK(V312),COUNTBLANK(V312:$V$1048576)=ROWS(V312:$V$1048576)),"",$R$2*(1+SUM(V$7:V312)))</f>
        <v/>
      </c>
      <c r="Q312" s="191"/>
      <c r="R312" s="189"/>
      <c r="S312" s="53" t="str">
        <f t="shared" si="33"/>
        <v/>
      </c>
      <c r="T312" s="63" t="str">
        <f t="shared" si="34"/>
        <v/>
      </c>
      <c r="U312" s="64" t="str">
        <f>IF(OR(ISBLANK(Trades!R312), ISBLANK(Trades!H312), ISBLANK(Trades!I312)), "", IF(Trades!H312=Trades!I312, "N/A", (Trades!R312-Trades!H312)/(Trades!H312-Trades!I312)))</f>
        <v/>
      </c>
      <c r="V312" s="65" t="str">
        <f t="shared" si="35"/>
        <v/>
      </c>
      <c r="W312" s="66" t="str">
        <f t="shared" si="36"/>
        <v/>
      </c>
      <c r="X312" s="62" t="str">
        <f t="shared" si="37"/>
        <v/>
      </c>
      <c r="Y312" s="45"/>
      <c r="Z312" s="44"/>
      <c r="AA312" s="41"/>
      <c r="AB312" s="39"/>
      <c r="AC312" s="37" t="str">
        <f t="shared" si="38"/>
        <v/>
      </c>
    </row>
    <row r="313" spans="2:29" x14ac:dyDescent="0.25">
      <c r="B313" s="54">
        <v>307</v>
      </c>
      <c r="C313" s="168"/>
      <c r="D313" s="51"/>
      <c r="E313" s="29"/>
      <c r="F313" s="48"/>
      <c r="G313" s="29"/>
      <c r="H313" s="187"/>
      <c r="I313" s="187"/>
      <c r="J313" s="195"/>
      <c r="K313" s="86" t="str">
        <f t="shared" si="32"/>
        <v/>
      </c>
      <c r="L313" s="57" t="str">
        <f t="shared" si="39"/>
        <v/>
      </c>
      <c r="M313" s="186"/>
      <c r="N313" s="189"/>
      <c r="O313" s="190"/>
      <c r="P313" s="190" t="str">
        <f>IF(OR(ISBLANK(V313),COUNTBLANK(V313:$V$1048576)=ROWS(V313:$V$1048576)),"",$R$2*(1+SUM(V$7:V313)))</f>
        <v/>
      </c>
      <c r="Q313" s="191"/>
      <c r="R313" s="189"/>
      <c r="S313" s="53" t="str">
        <f t="shared" si="33"/>
        <v/>
      </c>
      <c r="T313" s="63" t="str">
        <f t="shared" si="34"/>
        <v/>
      </c>
      <c r="U313" s="64" t="str">
        <f>IF(OR(ISBLANK(Trades!R313), ISBLANK(Trades!H313), ISBLANK(Trades!I313)), "", IF(Trades!H313=Trades!I313, "N/A", (Trades!R313-Trades!H313)/(Trades!H313-Trades!I313)))</f>
        <v/>
      </c>
      <c r="V313" s="65" t="str">
        <f t="shared" si="35"/>
        <v/>
      </c>
      <c r="W313" s="66" t="str">
        <f t="shared" si="36"/>
        <v/>
      </c>
      <c r="X313" s="62" t="str">
        <f t="shared" si="37"/>
        <v/>
      </c>
      <c r="Y313" s="45"/>
      <c r="Z313" s="44"/>
      <c r="AA313" s="41"/>
      <c r="AB313" s="39"/>
      <c r="AC313" s="37" t="str">
        <f t="shared" si="38"/>
        <v/>
      </c>
    </row>
    <row r="314" spans="2:29" x14ac:dyDescent="0.25">
      <c r="B314" s="54">
        <v>308</v>
      </c>
      <c r="C314" s="168"/>
      <c r="D314" s="51"/>
      <c r="E314" s="29"/>
      <c r="F314" s="48"/>
      <c r="G314" s="29"/>
      <c r="H314" s="187"/>
      <c r="I314" s="187"/>
      <c r="J314" s="195"/>
      <c r="K314" s="86" t="str">
        <f t="shared" si="32"/>
        <v/>
      </c>
      <c r="L314" s="57" t="str">
        <f t="shared" si="39"/>
        <v/>
      </c>
      <c r="M314" s="186"/>
      <c r="N314" s="189"/>
      <c r="O314" s="190"/>
      <c r="P314" s="190" t="str">
        <f>IF(OR(ISBLANK(V314),COUNTBLANK(V314:$V$1048576)=ROWS(V314:$V$1048576)),"",$R$2*(1+SUM(V$7:V314)))</f>
        <v/>
      </c>
      <c r="Q314" s="191"/>
      <c r="R314" s="189"/>
      <c r="S314" s="53" t="str">
        <f t="shared" si="33"/>
        <v/>
      </c>
      <c r="T314" s="63" t="str">
        <f t="shared" si="34"/>
        <v/>
      </c>
      <c r="U314" s="64" t="str">
        <f>IF(OR(ISBLANK(Trades!R314), ISBLANK(Trades!H314), ISBLANK(Trades!I314)), "", IF(Trades!H314=Trades!I314, "N/A", (Trades!R314-Trades!H314)/(Trades!H314-Trades!I314)))</f>
        <v/>
      </c>
      <c r="V314" s="65" t="str">
        <f t="shared" si="35"/>
        <v/>
      </c>
      <c r="W314" s="66" t="str">
        <f t="shared" si="36"/>
        <v/>
      </c>
      <c r="X314" s="62" t="str">
        <f t="shared" si="37"/>
        <v/>
      </c>
      <c r="Y314" s="45"/>
      <c r="Z314" s="44"/>
      <c r="AA314" s="41"/>
      <c r="AB314" s="39"/>
      <c r="AC314" s="37" t="str">
        <f t="shared" si="38"/>
        <v/>
      </c>
    </row>
    <row r="315" spans="2:29" x14ac:dyDescent="0.25">
      <c r="B315" s="54">
        <v>309</v>
      </c>
      <c r="C315" s="168"/>
      <c r="D315" s="51"/>
      <c r="E315" s="29"/>
      <c r="F315" s="48"/>
      <c r="G315" s="29"/>
      <c r="H315" s="187"/>
      <c r="I315" s="187"/>
      <c r="J315" s="195"/>
      <c r="K315" s="86" t="str">
        <f t="shared" si="32"/>
        <v/>
      </c>
      <c r="L315" s="57" t="str">
        <f t="shared" si="39"/>
        <v/>
      </c>
      <c r="M315" s="186"/>
      <c r="N315" s="189"/>
      <c r="O315" s="190"/>
      <c r="P315" s="190" t="str">
        <f>IF(OR(ISBLANK(V315),COUNTBLANK(V315:$V$1048576)=ROWS(V315:$V$1048576)),"",$R$2*(1+SUM(V$7:V315)))</f>
        <v/>
      </c>
      <c r="Q315" s="191"/>
      <c r="R315" s="189"/>
      <c r="S315" s="53" t="str">
        <f t="shared" si="33"/>
        <v/>
      </c>
      <c r="T315" s="63" t="str">
        <f t="shared" si="34"/>
        <v/>
      </c>
      <c r="U315" s="64" t="str">
        <f>IF(OR(ISBLANK(Trades!R315), ISBLANK(Trades!H315), ISBLANK(Trades!I315)), "", IF(Trades!H315=Trades!I315, "N/A", (Trades!R315-Trades!H315)/(Trades!H315-Trades!I315)))</f>
        <v/>
      </c>
      <c r="V315" s="65" t="str">
        <f t="shared" si="35"/>
        <v/>
      </c>
      <c r="W315" s="66" t="str">
        <f t="shared" si="36"/>
        <v/>
      </c>
      <c r="X315" s="62" t="str">
        <f t="shared" si="37"/>
        <v/>
      </c>
      <c r="Y315" s="45"/>
      <c r="Z315" s="44"/>
      <c r="AA315" s="41"/>
      <c r="AB315" s="39"/>
      <c r="AC315" s="37" t="str">
        <f t="shared" si="38"/>
        <v/>
      </c>
    </row>
    <row r="316" spans="2:29" x14ac:dyDescent="0.25">
      <c r="B316" s="54">
        <v>310</v>
      </c>
      <c r="C316" s="168"/>
      <c r="D316" s="51"/>
      <c r="E316" s="29"/>
      <c r="F316" s="48"/>
      <c r="G316" s="29"/>
      <c r="H316" s="187"/>
      <c r="I316" s="187"/>
      <c r="J316" s="195"/>
      <c r="K316" s="86" t="str">
        <f t="shared" si="32"/>
        <v/>
      </c>
      <c r="L316" s="57" t="str">
        <f t="shared" si="39"/>
        <v/>
      </c>
      <c r="M316" s="186"/>
      <c r="N316" s="189"/>
      <c r="O316" s="190"/>
      <c r="P316" s="190" t="str">
        <f>IF(OR(ISBLANK(V316),COUNTBLANK(V316:$V$1048576)=ROWS(V316:$V$1048576)),"",$R$2*(1+SUM(V$7:V316)))</f>
        <v/>
      </c>
      <c r="Q316" s="191"/>
      <c r="R316" s="189"/>
      <c r="S316" s="53" t="str">
        <f t="shared" si="33"/>
        <v/>
      </c>
      <c r="T316" s="63" t="str">
        <f t="shared" si="34"/>
        <v/>
      </c>
      <c r="U316" s="64" t="str">
        <f>IF(OR(ISBLANK(Trades!R316), ISBLANK(Trades!H316), ISBLANK(Trades!I316)), "", IF(Trades!H316=Trades!I316, "N/A", (Trades!R316-Trades!H316)/(Trades!H316-Trades!I316)))</f>
        <v/>
      </c>
      <c r="V316" s="65" t="str">
        <f t="shared" si="35"/>
        <v/>
      </c>
      <c r="W316" s="66" t="str">
        <f t="shared" si="36"/>
        <v/>
      </c>
      <c r="X316" s="62" t="str">
        <f t="shared" si="37"/>
        <v/>
      </c>
      <c r="Y316" s="45"/>
      <c r="Z316" s="44"/>
      <c r="AA316" s="41"/>
      <c r="AB316" s="39"/>
      <c r="AC316" s="37" t="str">
        <f t="shared" si="38"/>
        <v/>
      </c>
    </row>
    <row r="317" spans="2:29" x14ac:dyDescent="0.25">
      <c r="B317" s="54">
        <v>311</v>
      </c>
      <c r="C317" s="168"/>
      <c r="D317" s="51"/>
      <c r="E317" s="29"/>
      <c r="F317" s="48"/>
      <c r="G317" s="29"/>
      <c r="H317" s="187"/>
      <c r="I317" s="187"/>
      <c r="J317" s="195"/>
      <c r="K317" s="86" t="str">
        <f t="shared" si="32"/>
        <v/>
      </c>
      <c r="L317" s="57" t="str">
        <f t="shared" si="39"/>
        <v/>
      </c>
      <c r="M317" s="186"/>
      <c r="N317" s="189"/>
      <c r="O317" s="190"/>
      <c r="P317" s="190" t="str">
        <f>IF(OR(ISBLANK(V317),COUNTBLANK(V317:$V$1048576)=ROWS(V317:$V$1048576)),"",$R$2*(1+SUM(V$7:V317)))</f>
        <v/>
      </c>
      <c r="Q317" s="191"/>
      <c r="R317" s="189"/>
      <c r="S317" s="53" t="str">
        <f t="shared" si="33"/>
        <v/>
      </c>
      <c r="T317" s="63" t="str">
        <f t="shared" si="34"/>
        <v/>
      </c>
      <c r="U317" s="64" t="str">
        <f>IF(OR(ISBLANK(Trades!R317), ISBLANK(Trades!H317), ISBLANK(Trades!I317)), "", IF(Trades!H317=Trades!I317, "N/A", (Trades!R317-Trades!H317)/(Trades!H317-Trades!I317)))</f>
        <v/>
      </c>
      <c r="V317" s="65" t="str">
        <f t="shared" si="35"/>
        <v/>
      </c>
      <c r="W317" s="66" t="str">
        <f t="shared" si="36"/>
        <v/>
      </c>
      <c r="X317" s="62" t="str">
        <f t="shared" si="37"/>
        <v/>
      </c>
      <c r="Y317" s="45"/>
      <c r="Z317" s="44"/>
      <c r="AA317" s="41"/>
      <c r="AB317" s="39"/>
      <c r="AC317" s="37" t="str">
        <f t="shared" si="38"/>
        <v/>
      </c>
    </row>
    <row r="318" spans="2:29" x14ac:dyDescent="0.25">
      <c r="B318" s="54">
        <v>312</v>
      </c>
      <c r="C318" s="168"/>
      <c r="D318" s="51"/>
      <c r="E318" s="29"/>
      <c r="F318" s="48"/>
      <c r="G318" s="29"/>
      <c r="H318" s="187"/>
      <c r="I318" s="187"/>
      <c r="J318" s="195"/>
      <c r="K318" s="86" t="str">
        <f t="shared" si="32"/>
        <v/>
      </c>
      <c r="L318" s="57" t="str">
        <f t="shared" si="39"/>
        <v/>
      </c>
      <c r="M318" s="186"/>
      <c r="N318" s="189"/>
      <c r="O318" s="190"/>
      <c r="P318" s="190" t="str">
        <f>IF(OR(ISBLANK(V318),COUNTBLANK(V318:$V$1048576)=ROWS(V318:$V$1048576)),"",$R$2*(1+SUM(V$7:V318)))</f>
        <v/>
      </c>
      <c r="Q318" s="191"/>
      <c r="R318" s="189"/>
      <c r="S318" s="53" t="str">
        <f t="shared" si="33"/>
        <v/>
      </c>
      <c r="T318" s="63" t="str">
        <f t="shared" si="34"/>
        <v/>
      </c>
      <c r="U318" s="64" t="str">
        <f>IF(OR(ISBLANK(Trades!R318), ISBLANK(Trades!H318), ISBLANK(Trades!I318)), "", IF(Trades!H318=Trades!I318, "N/A", (Trades!R318-Trades!H318)/(Trades!H318-Trades!I318)))</f>
        <v/>
      </c>
      <c r="V318" s="65" t="str">
        <f t="shared" si="35"/>
        <v/>
      </c>
      <c r="W318" s="66" t="str">
        <f t="shared" si="36"/>
        <v/>
      </c>
      <c r="X318" s="62" t="str">
        <f t="shared" si="37"/>
        <v/>
      </c>
      <c r="Y318" s="45"/>
      <c r="Z318" s="44"/>
      <c r="AA318" s="41"/>
      <c r="AB318" s="39"/>
      <c r="AC318" s="37" t="str">
        <f t="shared" si="38"/>
        <v/>
      </c>
    </row>
    <row r="319" spans="2:29" x14ac:dyDescent="0.25">
      <c r="B319" s="54">
        <v>313</v>
      </c>
      <c r="C319" s="168"/>
      <c r="D319" s="51"/>
      <c r="E319" s="29"/>
      <c r="F319" s="48"/>
      <c r="G319" s="29"/>
      <c r="H319" s="187"/>
      <c r="I319" s="187"/>
      <c r="J319" s="195"/>
      <c r="K319" s="86" t="str">
        <f t="shared" si="32"/>
        <v/>
      </c>
      <c r="L319" s="57" t="str">
        <f t="shared" si="39"/>
        <v/>
      </c>
      <c r="M319" s="186"/>
      <c r="N319" s="189"/>
      <c r="O319" s="190"/>
      <c r="P319" s="190" t="str">
        <f>IF(OR(ISBLANK(V319),COUNTBLANK(V319:$V$1048576)=ROWS(V319:$V$1048576)),"",$R$2*(1+SUM(V$7:V319)))</f>
        <v/>
      </c>
      <c r="Q319" s="191"/>
      <c r="R319" s="189"/>
      <c r="S319" s="53" t="str">
        <f t="shared" si="33"/>
        <v/>
      </c>
      <c r="T319" s="63" t="str">
        <f t="shared" si="34"/>
        <v/>
      </c>
      <c r="U319" s="64" t="str">
        <f>IF(OR(ISBLANK(Trades!R319), ISBLANK(Trades!H319), ISBLANK(Trades!I319)), "", IF(Trades!H319=Trades!I319, "N/A", (Trades!R319-Trades!H319)/(Trades!H319-Trades!I319)))</f>
        <v/>
      </c>
      <c r="V319" s="65" t="str">
        <f t="shared" si="35"/>
        <v/>
      </c>
      <c r="W319" s="66" t="str">
        <f t="shared" si="36"/>
        <v/>
      </c>
      <c r="X319" s="62" t="str">
        <f t="shared" si="37"/>
        <v/>
      </c>
      <c r="Y319" s="45"/>
      <c r="Z319" s="44"/>
      <c r="AA319" s="41"/>
      <c r="AB319" s="39"/>
      <c r="AC319" s="37" t="str">
        <f t="shared" si="38"/>
        <v/>
      </c>
    </row>
    <row r="320" spans="2:29" x14ac:dyDescent="0.25">
      <c r="B320" s="54">
        <v>314</v>
      </c>
      <c r="C320" s="168"/>
      <c r="D320" s="51"/>
      <c r="E320" s="29"/>
      <c r="F320" s="48"/>
      <c r="G320" s="29"/>
      <c r="H320" s="187"/>
      <c r="I320" s="187"/>
      <c r="J320" s="195"/>
      <c r="K320" s="86" t="str">
        <f t="shared" si="32"/>
        <v/>
      </c>
      <c r="L320" s="57" t="str">
        <f t="shared" si="39"/>
        <v/>
      </c>
      <c r="M320" s="186"/>
      <c r="N320" s="189"/>
      <c r="O320" s="190"/>
      <c r="P320" s="190" t="str">
        <f>IF(OR(ISBLANK(V320),COUNTBLANK(V320:$V$1048576)=ROWS(V320:$V$1048576)),"",$R$2*(1+SUM(V$7:V320)))</f>
        <v/>
      </c>
      <c r="Q320" s="191"/>
      <c r="R320" s="189"/>
      <c r="S320" s="53" t="str">
        <f t="shared" si="33"/>
        <v/>
      </c>
      <c r="T320" s="63" t="str">
        <f t="shared" si="34"/>
        <v/>
      </c>
      <c r="U320" s="64" t="str">
        <f>IF(OR(ISBLANK(Trades!R320), ISBLANK(Trades!H320), ISBLANK(Trades!I320)), "", IF(Trades!H320=Trades!I320, "N/A", (Trades!R320-Trades!H320)/(Trades!H320-Trades!I320)))</f>
        <v/>
      </c>
      <c r="V320" s="65" t="str">
        <f t="shared" si="35"/>
        <v/>
      </c>
      <c r="W320" s="66" t="str">
        <f t="shared" si="36"/>
        <v/>
      </c>
      <c r="X320" s="62" t="str">
        <f t="shared" si="37"/>
        <v/>
      </c>
      <c r="Y320" s="45"/>
      <c r="Z320" s="44"/>
      <c r="AA320" s="41"/>
      <c r="AB320" s="39"/>
      <c r="AC320" s="37" t="str">
        <f t="shared" si="38"/>
        <v/>
      </c>
    </row>
    <row r="321" spans="2:29" x14ac:dyDescent="0.25">
      <c r="B321" s="54">
        <v>315</v>
      </c>
      <c r="C321" s="168"/>
      <c r="D321" s="51"/>
      <c r="E321" s="29"/>
      <c r="F321" s="48"/>
      <c r="G321" s="29"/>
      <c r="H321" s="187"/>
      <c r="I321" s="187"/>
      <c r="J321" s="195"/>
      <c r="K321" s="86" t="str">
        <f t="shared" si="32"/>
        <v/>
      </c>
      <c r="L321" s="57" t="str">
        <f t="shared" si="39"/>
        <v/>
      </c>
      <c r="M321" s="186"/>
      <c r="N321" s="189"/>
      <c r="O321" s="190"/>
      <c r="P321" s="190" t="str">
        <f>IF(OR(ISBLANK(V321),COUNTBLANK(V321:$V$1048576)=ROWS(V321:$V$1048576)),"",$R$2*(1+SUM(V$7:V321)))</f>
        <v/>
      </c>
      <c r="Q321" s="191"/>
      <c r="R321" s="189"/>
      <c r="S321" s="53" t="str">
        <f t="shared" si="33"/>
        <v/>
      </c>
      <c r="T321" s="63" t="str">
        <f t="shared" si="34"/>
        <v/>
      </c>
      <c r="U321" s="64" t="str">
        <f>IF(OR(ISBLANK(Trades!R321), ISBLANK(Trades!H321), ISBLANK(Trades!I321)), "", IF(Trades!H321=Trades!I321, "N/A", (Trades!R321-Trades!H321)/(Trades!H321-Trades!I321)))</f>
        <v/>
      </c>
      <c r="V321" s="65" t="str">
        <f t="shared" si="35"/>
        <v/>
      </c>
      <c r="W321" s="66" t="str">
        <f t="shared" si="36"/>
        <v/>
      </c>
      <c r="X321" s="62" t="str">
        <f t="shared" si="37"/>
        <v/>
      </c>
      <c r="Y321" s="45"/>
      <c r="Z321" s="44"/>
      <c r="AA321" s="41"/>
      <c r="AB321" s="39"/>
      <c r="AC321" s="37" t="str">
        <f t="shared" si="38"/>
        <v/>
      </c>
    </row>
    <row r="322" spans="2:29" x14ac:dyDescent="0.25">
      <c r="B322" s="54">
        <v>316</v>
      </c>
      <c r="C322" s="168"/>
      <c r="D322" s="51"/>
      <c r="E322" s="29"/>
      <c r="F322" s="48"/>
      <c r="G322" s="29"/>
      <c r="H322" s="187"/>
      <c r="I322" s="187"/>
      <c r="J322" s="195"/>
      <c r="K322" s="86" t="str">
        <f t="shared" si="32"/>
        <v/>
      </c>
      <c r="L322" s="57" t="str">
        <f t="shared" si="39"/>
        <v/>
      </c>
      <c r="M322" s="186"/>
      <c r="N322" s="189"/>
      <c r="O322" s="190"/>
      <c r="P322" s="190" t="str">
        <f>IF(OR(ISBLANK(V322),COUNTBLANK(V322:$V$1048576)=ROWS(V322:$V$1048576)),"",$R$2*(1+SUM(V$7:V322)))</f>
        <v/>
      </c>
      <c r="Q322" s="191"/>
      <c r="R322" s="189"/>
      <c r="S322" s="53" t="str">
        <f t="shared" si="33"/>
        <v/>
      </c>
      <c r="T322" s="63" t="str">
        <f t="shared" si="34"/>
        <v/>
      </c>
      <c r="U322" s="64" t="str">
        <f>IF(OR(ISBLANK(Trades!R322), ISBLANK(Trades!H322), ISBLANK(Trades!I322)), "", IF(Trades!H322=Trades!I322, "N/A", (Trades!R322-Trades!H322)/(Trades!H322-Trades!I322)))</f>
        <v/>
      </c>
      <c r="V322" s="65" t="str">
        <f t="shared" si="35"/>
        <v/>
      </c>
      <c r="W322" s="66" t="str">
        <f t="shared" si="36"/>
        <v/>
      </c>
      <c r="X322" s="62" t="str">
        <f t="shared" si="37"/>
        <v/>
      </c>
      <c r="Y322" s="45"/>
      <c r="Z322" s="44"/>
      <c r="AA322" s="41"/>
      <c r="AB322" s="39"/>
      <c r="AC322" s="37" t="str">
        <f t="shared" si="38"/>
        <v/>
      </c>
    </row>
    <row r="323" spans="2:29" x14ac:dyDescent="0.25">
      <c r="B323" s="54">
        <v>317</v>
      </c>
      <c r="C323" s="168"/>
      <c r="D323" s="51"/>
      <c r="E323" s="29"/>
      <c r="F323" s="48"/>
      <c r="G323" s="29"/>
      <c r="H323" s="187"/>
      <c r="I323" s="187"/>
      <c r="J323" s="195"/>
      <c r="K323" s="86" t="str">
        <f t="shared" si="32"/>
        <v/>
      </c>
      <c r="L323" s="57" t="str">
        <f t="shared" si="39"/>
        <v/>
      </c>
      <c r="M323" s="186"/>
      <c r="N323" s="189"/>
      <c r="O323" s="190"/>
      <c r="P323" s="190" t="str">
        <f>IF(OR(ISBLANK(V323),COUNTBLANK(V323:$V$1048576)=ROWS(V323:$V$1048576)),"",$R$2*(1+SUM(V$7:V323)))</f>
        <v/>
      </c>
      <c r="Q323" s="191"/>
      <c r="R323" s="189"/>
      <c r="S323" s="53" t="str">
        <f t="shared" si="33"/>
        <v/>
      </c>
      <c r="T323" s="63" t="str">
        <f t="shared" si="34"/>
        <v/>
      </c>
      <c r="U323" s="64" t="str">
        <f>IF(OR(ISBLANK(Trades!R323), ISBLANK(Trades!H323), ISBLANK(Trades!I323)), "", IF(Trades!H323=Trades!I323, "N/A", (Trades!R323-Trades!H323)/(Trades!H323-Trades!I323)))</f>
        <v/>
      </c>
      <c r="V323" s="65" t="str">
        <f t="shared" si="35"/>
        <v/>
      </c>
      <c r="W323" s="66" t="str">
        <f t="shared" si="36"/>
        <v/>
      </c>
      <c r="X323" s="62" t="str">
        <f t="shared" si="37"/>
        <v/>
      </c>
      <c r="Y323" s="45"/>
      <c r="Z323" s="44"/>
      <c r="AA323" s="41"/>
      <c r="AB323" s="39"/>
      <c r="AC323" s="37" t="str">
        <f t="shared" si="38"/>
        <v/>
      </c>
    </row>
    <row r="324" spans="2:29" x14ac:dyDescent="0.25">
      <c r="B324" s="54">
        <v>318</v>
      </c>
      <c r="C324" s="168"/>
      <c r="D324" s="51"/>
      <c r="E324" s="29"/>
      <c r="F324" s="48"/>
      <c r="G324" s="29"/>
      <c r="H324" s="187"/>
      <c r="I324" s="187"/>
      <c r="J324" s="195"/>
      <c r="K324" s="86" t="str">
        <f t="shared" si="32"/>
        <v/>
      </c>
      <c r="L324" s="57" t="str">
        <f t="shared" si="39"/>
        <v/>
      </c>
      <c r="M324" s="186"/>
      <c r="N324" s="189"/>
      <c r="O324" s="190"/>
      <c r="P324" s="190" t="str">
        <f>IF(OR(ISBLANK(V324),COUNTBLANK(V324:$V$1048576)=ROWS(V324:$V$1048576)),"",$R$2*(1+SUM(V$7:V324)))</f>
        <v/>
      </c>
      <c r="Q324" s="191"/>
      <c r="R324" s="189"/>
      <c r="S324" s="53" t="str">
        <f t="shared" si="33"/>
        <v/>
      </c>
      <c r="T324" s="63" t="str">
        <f t="shared" si="34"/>
        <v/>
      </c>
      <c r="U324" s="64" t="str">
        <f>IF(OR(ISBLANK(Trades!R324), ISBLANK(Trades!H324), ISBLANK(Trades!I324)), "", IF(Trades!H324=Trades!I324, "N/A", (Trades!R324-Trades!H324)/(Trades!H324-Trades!I324)))</f>
        <v/>
      </c>
      <c r="V324" s="65" t="str">
        <f t="shared" si="35"/>
        <v/>
      </c>
      <c r="W324" s="66" t="str">
        <f t="shared" si="36"/>
        <v/>
      </c>
      <c r="X324" s="62" t="str">
        <f t="shared" si="37"/>
        <v/>
      </c>
      <c r="Y324" s="45"/>
      <c r="Z324" s="44"/>
      <c r="AA324" s="41"/>
      <c r="AB324" s="39"/>
      <c r="AC324" s="37" t="str">
        <f t="shared" si="38"/>
        <v/>
      </c>
    </row>
    <row r="325" spans="2:29" x14ac:dyDescent="0.25">
      <c r="B325" s="54">
        <v>319</v>
      </c>
      <c r="C325" s="168"/>
      <c r="D325" s="51"/>
      <c r="E325" s="29"/>
      <c r="F325" s="48"/>
      <c r="G325" s="29"/>
      <c r="H325" s="187"/>
      <c r="I325" s="187"/>
      <c r="J325" s="195"/>
      <c r="K325" s="86" t="str">
        <f t="shared" si="32"/>
        <v/>
      </c>
      <c r="L325" s="57" t="str">
        <f t="shared" si="39"/>
        <v/>
      </c>
      <c r="M325" s="186"/>
      <c r="N325" s="189"/>
      <c r="O325" s="190"/>
      <c r="P325" s="190" t="str">
        <f>IF(OR(ISBLANK(V325),COUNTBLANK(V325:$V$1048576)=ROWS(V325:$V$1048576)),"",$R$2*(1+SUM(V$7:V325)))</f>
        <v/>
      </c>
      <c r="Q325" s="191"/>
      <c r="R325" s="189"/>
      <c r="S325" s="53" t="str">
        <f t="shared" si="33"/>
        <v/>
      </c>
      <c r="T325" s="63" t="str">
        <f t="shared" si="34"/>
        <v/>
      </c>
      <c r="U325" s="64" t="str">
        <f>IF(OR(ISBLANK(Trades!R325), ISBLANK(Trades!H325), ISBLANK(Trades!I325)), "", IF(Trades!H325=Trades!I325, "N/A", (Trades!R325-Trades!H325)/(Trades!H325-Trades!I325)))</f>
        <v/>
      </c>
      <c r="V325" s="65" t="str">
        <f t="shared" si="35"/>
        <v/>
      </c>
      <c r="W325" s="66" t="str">
        <f t="shared" si="36"/>
        <v/>
      </c>
      <c r="X325" s="62" t="str">
        <f t="shared" si="37"/>
        <v/>
      </c>
      <c r="Y325" s="45"/>
      <c r="Z325" s="44"/>
      <c r="AA325" s="41"/>
      <c r="AB325" s="39"/>
      <c r="AC325" s="37" t="str">
        <f t="shared" si="38"/>
        <v/>
      </c>
    </row>
    <row r="326" spans="2:29" x14ac:dyDescent="0.25">
      <c r="B326" s="54">
        <v>320</v>
      </c>
      <c r="C326" s="168"/>
      <c r="D326" s="51"/>
      <c r="E326" s="29"/>
      <c r="F326" s="48"/>
      <c r="G326" s="29"/>
      <c r="H326" s="187"/>
      <c r="I326" s="187"/>
      <c r="J326" s="195"/>
      <c r="K326" s="86" t="str">
        <f t="shared" si="32"/>
        <v/>
      </c>
      <c r="L326" s="57" t="str">
        <f t="shared" si="39"/>
        <v/>
      </c>
      <c r="M326" s="186"/>
      <c r="N326" s="189"/>
      <c r="O326" s="190"/>
      <c r="P326" s="190" t="str">
        <f>IF(OR(ISBLANK(V326),COUNTBLANK(V326:$V$1048576)=ROWS(V326:$V$1048576)),"",$R$2*(1+SUM(V$7:V326)))</f>
        <v/>
      </c>
      <c r="Q326" s="191"/>
      <c r="R326" s="189"/>
      <c r="S326" s="53" t="str">
        <f t="shared" si="33"/>
        <v/>
      </c>
      <c r="T326" s="63" t="str">
        <f t="shared" si="34"/>
        <v/>
      </c>
      <c r="U326" s="64" t="str">
        <f>IF(OR(ISBLANK(Trades!R326), ISBLANK(Trades!H326), ISBLANK(Trades!I326)), "", IF(Trades!H326=Trades!I326, "N/A", (Trades!R326-Trades!H326)/(Trades!H326-Trades!I326)))</f>
        <v/>
      </c>
      <c r="V326" s="65" t="str">
        <f t="shared" si="35"/>
        <v/>
      </c>
      <c r="W326" s="66" t="str">
        <f t="shared" si="36"/>
        <v/>
      </c>
      <c r="X326" s="62" t="str">
        <f t="shared" si="37"/>
        <v/>
      </c>
      <c r="Y326" s="45"/>
      <c r="Z326" s="44"/>
      <c r="AA326" s="41"/>
      <c r="AB326" s="39"/>
      <c r="AC326" s="37" t="str">
        <f t="shared" si="38"/>
        <v/>
      </c>
    </row>
    <row r="327" spans="2:29" x14ac:dyDescent="0.25">
      <c r="B327" s="54">
        <v>321</v>
      </c>
      <c r="C327" s="168"/>
      <c r="D327" s="51"/>
      <c r="E327" s="29"/>
      <c r="F327" s="48"/>
      <c r="G327" s="29"/>
      <c r="H327" s="187"/>
      <c r="I327" s="187"/>
      <c r="J327" s="195"/>
      <c r="K327" s="86" t="str">
        <f t="shared" ref="K327:K390" si="40">IF(OR(ISBLANK(H327),ISBLANK(I327)),"",IF(H327 &lt; I327, "SHORT", IF(H327 &gt; I327, "LONG", "")))</f>
        <v/>
      </c>
      <c r="L327" s="57" t="str">
        <f t="shared" si="39"/>
        <v/>
      </c>
      <c r="M327" s="186"/>
      <c r="N327" s="189"/>
      <c r="O327" s="190"/>
      <c r="P327" s="190" t="str">
        <f>IF(OR(ISBLANK(V327),COUNTBLANK(V327:$V$1048576)=ROWS(V327:$V$1048576)),"",$R$2*(1+SUM(V$7:V327)))</f>
        <v/>
      </c>
      <c r="Q327" s="191"/>
      <c r="R327" s="189"/>
      <c r="S327" s="53" t="str">
        <f t="shared" ref="S327:S390" si="41">IF(COUNTIFS($C$7:$C$1000, "&lt;="&amp;C327, $X$7:$X$1000, "Win") = 0, "", IF(COUNTIFS($C$7:$C$1000, "&lt;="&amp;C327, $X$7:$X$1000, "&lt;&gt;"&amp;"") = 0, "", COUNTIFS($C$7:$C$1000, "&lt;="&amp;C327, $X$7:$X$1000, "Win")/COUNTIFS($C$7:$C$1000, "&lt;="&amp;C327, $X$7:$X$1000, "&lt;&gt;"&amp;"")))</f>
        <v/>
      </c>
      <c r="T327" s="63" t="str">
        <f t="shared" ref="T327:T390" si="42">IF(ISBLANK(R327),IF(ISBLANK(H327),"","Open"),"Closed")</f>
        <v/>
      </c>
      <c r="U327" s="64" t="str">
        <f>IF(OR(ISBLANK(Trades!R327), ISBLANK(Trades!H327), ISBLANK(Trades!I327)), "", IF(Trades!H327=Trades!I327, "N/A", (Trades!R327-Trades!H327)/(Trades!H327-Trades!I327)))</f>
        <v/>
      </c>
      <c r="V327" s="65" t="str">
        <f t="shared" ref="V327:V390" si="43">IF(U327="","",U327*F327)</f>
        <v/>
      </c>
      <c r="W327" s="66" t="str">
        <f t="shared" ref="W327:W390" si="44">IF(ISBLANK(R327),"",IF(H327&gt;I327,IF(I327&gt;=R327,"SL Hit",IF(O327&lt;&gt;"","PT3 Hit",IF(N327&lt;&gt;"","PT2 Hit",IF(M327&lt;&gt;"","PT1 Hit","")))),IF(I327&lt;=R327,"SL Hit",IF(O327&lt;&gt;"","PT3 Hit",IF(N327&lt;&gt;"","PT2 Hit",IF(M327&lt;&gt;"","PT1 Hit",""))))))</f>
        <v/>
      </c>
      <c r="X327" s="62" t="str">
        <f t="shared" ref="X327:X390" si="45">IF(ISBLANK(R327),"",IF(H327&gt;I327, IF(R327&gt;=H327, "Win", "Loss"), IF(R327&lt;=H327, "Win", "Loss")))</f>
        <v/>
      </c>
      <c r="Y327" s="45"/>
      <c r="Z327" s="44"/>
      <c r="AA327" s="41"/>
      <c r="AB327" s="39"/>
      <c r="AC327" s="37" t="str">
        <f t="shared" ref="AC327:AC390" si="46">IFERROR(COUNTIFS($C$7:$C$1000,"&gt;="&amp;DATE(YEAR(C327),MONTH(C327),1),$C$7:$C$1000,"&lt;="&amp;EOMONTH(C327,0),$X$7:$X$1000,"Win")/COUNTIFS($C$7:$C$1000,"&gt;="&amp;DATE(YEAR(C327),MONTH(C327),1),$C$7:$C$1000,"&lt;="&amp;EOMONTH(C327,0)),"")</f>
        <v/>
      </c>
    </row>
    <row r="328" spans="2:29" x14ac:dyDescent="0.25">
      <c r="B328" s="54">
        <v>322</v>
      </c>
      <c r="C328" s="168"/>
      <c r="D328" s="51"/>
      <c r="E328" s="29"/>
      <c r="F328" s="48"/>
      <c r="G328" s="29"/>
      <c r="H328" s="187"/>
      <c r="I328" s="187"/>
      <c r="J328" s="195"/>
      <c r="K328" s="86" t="str">
        <f t="shared" si="40"/>
        <v/>
      </c>
      <c r="L328" s="57" t="str">
        <f t="shared" si="39"/>
        <v/>
      </c>
      <c r="M328" s="186"/>
      <c r="N328" s="189"/>
      <c r="O328" s="190"/>
      <c r="P328" s="190" t="str">
        <f>IF(OR(ISBLANK(V328),COUNTBLANK(V328:$V$1048576)=ROWS(V328:$V$1048576)),"",$R$2*(1+SUM(V$7:V328)))</f>
        <v/>
      </c>
      <c r="Q328" s="191"/>
      <c r="R328" s="189"/>
      <c r="S328" s="53" t="str">
        <f t="shared" si="41"/>
        <v/>
      </c>
      <c r="T328" s="63" t="str">
        <f t="shared" si="42"/>
        <v/>
      </c>
      <c r="U328" s="64" t="str">
        <f>IF(OR(ISBLANK(Trades!R328), ISBLANK(Trades!H328), ISBLANK(Trades!I328)), "", IF(Trades!H328=Trades!I328, "N/A", (Trades!R328-Trades!H328)/(Trades!H328-Trades!I328)))</f>
        <v/>
      </c>
      <c r="V328" s="65" t="str">
        <f t="shared" si="43"/>
        <v/>
      </c>
      <c r="W328" s="66" t="str">
        <f t="shared" si="44"/>
        <v/>
      </c>
      <c r="X328" s="62" t="str">
        <f t="shared" si="45"/>
        <v/>
      </c>
      <c r="Y328" s="45"/>
      <c r="Z328" s="44"/>
      <c r="AA328" s="41"/>
      <c r="AB328" s="39"/>
      <c r="AC328" s="37" t="str">
        <f t="shared" si="46"/>
        <v/>
      </c>
    </row>
    <row r="329" spans="2:29" x14ac:dyDescent="0.25">
      <c r="B329" s="54">
        <v>323</v>
      </c>
      <c r="C329" s="168"/>
      <c r="D329" s="51"/>
      <c r="E329" s="29"/>
      <c r="F329" s="48"/>
      <c r="G329" s="29"/>
      <c r="H329" s="187"/>
      <c r="I329" s="187"/>
      <c r="J329" s="195"/>
      <c r="K329" s="86" t="str">
        <f t="shared" si="40"/>
        <v/>
      </c>
      <c r="L329" s="57" t="str">
        <f t="shared" si="39"/>
        <v/>
      </c>
      <c r="M329" s="186"/>
      <c r="N329" s="189"/>
      <c r="O329" s="190"/>
      <c r="P329" s="190" t="str">
        <f>IF(OR(ISBLANK(V329),COUNTBLANK(V329:$V$1048576)=ROWS(V329:$V$1048576)),"",$R$2*(1+SUM(V$7:V329)))</f>
        <v/>
      </c>
      <c r="Q329" s="191"/>
      <c r="R329" s="189"/>
      <c r="S329" s="53" t="str">
        <f t="shared" si="41"/>
        <v/>
      </c>
      <c r="T329" s="63" t="str">
        <f t="shared" si="42"/>
        <v/>
      </c>
      <c r="U329" s="64" t="str">
        <f>IF(OR(ISBLANK(Trades!R329), ISBLANK(Trades!H329), ISBLANK(Trades!I329)), "", IF(Trades!H329=Trades!I329, "N/A", (Trades!R329-Trades!H329)/(Trades!H329-Trades!I329)))</f>
        <v/>
      </c>
      <c r="V329" s="65" t="str">
        <f t="shared" si="43"/>
        <v/>
      </c>
      <c r="W329" s="66" t="str">
        <f t="shared" si="44"/>
        <v/>
      </c>
      <c r="X329" s="62" t="str">
        <f t="shared" si="45"/>
        <v/>
      </c>
      <c r="Y329" s="45"/>
      <c r="Z329" s="44"/>
      <c r="AA329" s="41"/>
      <c r="AB329" s="39"/>
      <c r="AC329" s="37" t="str">
        <f t="shared" si="46"/>
        <v/>
      </c>
    </row>
    <row r="330" spans="2:29" x14ac:dyDescent="0.25">
      <c r="B330" s="54">
        <v>324</v>
      </c>
      <c r="C330" s="168"/>
      <c r="D330" s="51"/>
      <c r="E330" s="29"/>
      <c r="F330" s="48"/>
      <c r="G330" s="29"/>
      <c r="H330" s="187"/>
      <c r="I330" s="187"/>
      <c r="J330" s="195"/>
      <c r="K330" s="86" t="str">
        <f t="shared" si="40"/>
        <v/>
      </c>
      <c r="L330" s="57" t="str">
        <f t="shared" si="39"/>
        <v/>
      </c>
      <c r="M330" s="186"/>
      <c r="N330" s="189"/>
      <c r="O330" s="190"/>
      <c r="P330" s="190" t="str">
        <f>IF(OR(ISBLANK(V330),COUNTBLANK(V330:$V$1048576)=ROWS(V330:$V$1048576)),"",$R$2*(1+SUM(V$7:V330)))</f>
        <v/>
      </c>
      <c r="Q330" s="191"/>
      <c r="R330" s="189"/>
      <c r="S330" s="53" t="str">
        <f t="shared" si="41"/>
        <v/>
      </c>
      <c r="T330" s="63" t="str">
        <f t="shared" si="42"/>
        <v/>
      </c>
      <c r="U330" s="64" t="str">
        <f>IF(OR(ISBLANK(Trades!R330), ISBLANK(Trades!H330), ISBLANK(Trades!I330)), "", IF(Trades!H330=Trades!I330, "N/A", (Trades!R330-Trades!H330)/(Trades!H330-Trades!I330)))</f>
        <v/>
      </c>
      <c r="V330" s="65" t="str">
        <f t="shared" si="43"/>
        <v/>
      </c>
      <c r="W330" s="66" t="str">
        <f t="shared" si="44"/>
        <v/>
      </c>
      <c r="X330" s="62" t="str">
        <f t="shared" si="45"/>
        <v/>
      </c>
      <c r="Y330" s="45"/>
      <c r="Z330" s="44"/>
      <c r="AA330" s="41"/>
      <c r="AB330" s="39"/>
      <c r="AC330" s="37" t="str">
        <f t="shared" si="46"/>
        <v/>
      </c>
    </row>
    <row r="331" spans="2:29" x14ac:dyDescent="0.25">
      <c r="B331" s="54">
        <v>325</v>
      </c>
      <c r="C331" s="168"/>
      <c r="D331" s="51"/>
      <c r="E331" s="29"/>
      <c r="F331" s="48"/>
      <c r="G331" s="29"/>
      <c r="H331" s="187"/>
      <c r="I331" s="187"/>
      <c r="J331" s="195"/>
      <c r="K331" s="86" t="str">
        <f t="shared" si="40"/>
        <v/>
      </c>
      <c r="L331" s="57" t="str">
        <f t="shared" si="39"/>
        <v/>
      </c>
      <c r="M331" s="186"/>
      <c r="N331" s="189"/>
      <c r="O331" s="190"/>
      <c r="P331" s="190" t="str">
        <f>IF(OR(ISBLANK(V331),COUNTBLANK(V331:$V$1048576)=ROWS(V331:$V$1048576)),"",$R$2*(1+SUM(V$7:V331)))</f>
        <v/>
      </c>
      <c r="Q331" s="191"/>
      <c r="R331" s="189"/>
      <c r="S331" s="53" t="str">
        <f t="shared" si="41"/>
        <v/>
      </c>
      <c r="T331" s="63" t="str">
        <f t="shared" si="42"/>
        <v/>
      </c>
      <c r="U331" s="64" t="str">
        <f>IF(OR(ISBLANK(Trades!R331), ISBLANK(Trades!H331), ISBLANK(Trades!I331)), "", IF(Trades!H331=Trades!I331, "N/A", (Trades!R331-Trades!H331)/(Trades!H331-Trades!I331)))</f>
        <v/>
      </c>
      <c r="V331" s="65" t="str">
        <f t="shared" si="43"/>
        <v/>
      </c>
      <c r="W331" s="66" t="str">
        <f t="shared" si="44"/>
        <v/>
      </c>
      <c r="X331" s="62" t="str">
        <f t="shared" si="45"/>
        <v/>
      </c>
      <c r="Y331" s="45"/>
      <c r="Z331" s="44"/>
      <c r="AA331" s="41"/>
      <c r="AB331" s="39"/>
      <c r="AC331" s="37" t="str">
        <f t="shared" si="46"/>
        <v/>
      </c>
    </row>
    <row r="332" spans="2:29" x14ac:dyDescent="0.25">
      <c r="B332" s="54">
        <v>326</v>
      </c>
      <c r="C332" s="168"/>
      <c r="D332" s="51"/>
      <c r="E332" s="29"/>
      <c r="F332" s="48"/>
      <c r="G332" s="29"/>
      <c r="H332" s="187"/>
      <c r="I332" s="187"/>
      <c r="J332" s="195"/>
      <c r="K332" s="86" t="str">
        <f t="shared" si="40"/>
        <v/>
      </c>
      <c r="L332" s="57" t="str">
        <f t="shared" ref="L332:L395" si="47">IF(OR(ISBLANK(J332),ISBLANK(H332),ISBLANK(I332)),"",ABS(J332-H332)/ABS(H332-I332))</f>
        <v/>
      </c>
      <c r="M332" s="186"/>
      <c r="N332" s="189"/>
      <c r="O332" s="190"/>
      <c r="P332" s="190" t="str">
        <f>IF(OR(ISBLANK(V332),COUNTBLANK(V332:$V$1048576)=ROWS(V332:$V$1048576)),"",$R$2*(1+SUM(V$7:V332)))</f>
        <v/>
      </c>
      <c r="Q332" s="191"/>
      <c r="R332" s="189"/>
      <c r="S332" s="53" t="str">
        <f t="shared" si="41"/>
        <v/>
      </c>
      <c r="T332" s="63" t="str">
        <f t="shared" si="42"/>
        <v/>
      </c>
      <c r="U332" s="64" t="str">
        <f>IF(OR(ISBLANK(Trades!R332), ISBLANK(Trades!H332), ISBLANK(Trades!I332)), "", IF(Trades!H332=Trades!I332, "N/A", (Trades!R332-Trades!H332)/(Trades!H332-Trades!I332)))</f>
        <v/>
      </c>
      <c r="V332" s="65" t="str">
        <f t="shared" si="43"/>
        <v/>
      </c>
      <c r="W332" s="66" t="str">
        <f t="shared" si="44"/>
        <v/>
      </c>
      <c r="X332" s="62" t="str">
        <f t="shared" si="45"/>
        <v/>
      </c>
      <c r="Y332" s="45"/>
      <c r="Z332" s="44"/>
      <c r="AA332" s="41"/>
      <c r="AB332" s="39"/>
      <c r="AC332" s="37" t="str">
        <f t="shared" si="46"/>
        <v/>
      </c>
    </row>
    <row r="333" spans="2:29" x14ac:dyDescent="0.25">
      <c r="B333" s="54">
        <v>327</v>
      </c>
      <c r="C333" s="168"/>
      <c r="D333" s="51"/>
      <c r="E333" s="29"/>
      <c r="F333" s="48"/>
      <c r="G333" s="29"/>
      <c r="H333" s="187"/>
      <c r="I333" s="187"/>
      <c r="J333" s="195"/>
      <c r="K333" s="86" t="str">
        <f t="shared" si="40"/>
        <v/>
      </c>
      <c r="L333" s="57" t="str">
        <f t="shared" si="47"/>
        <v/>
      </c>
      <c r="M333" s="186"/>
      <c r="N333" s="189"/>
      <c r="O333" s="190"/>
      <c r="P333" s="190" t="str">
        <f>IF(OR(ISBLANK(V333),COUNTBLANK(V333:$V$1048576)=ROWS(V333:$V$1048576)),"",$R$2*(1+SUM(V$7:V333)))</f>
        <v/>
      </c>
      <c r="Q333" s="191"/>
      <c r="R333" s="189"/>
      <c r="S333" s="53" t="str">
        <f t="shared" si="41"/>
        <v/>
      </c>
      <c r="T333" s="63" t="str">
        <f t="shared" si="42"/>
        <v/>
      </c>
      <c r="U333" s="64" t="str">
        <f>IF(OR(ISBLANK(Trades!R333), ISBLANK(Trades!H333), ISBLANK(Trades!I333)), "", IF(Trades!H333=Trades!I333, "N/A", (Trades!R333-Trades!H333)/(Trades!H333-Trades!I333)))</f>
        <v/>
      </c>
      <c r="V333" s="65" t="str">
        <f t="shared" si="43"/>
        <v/>
      </c>
      <c r="W333" s="66" t="str">
        <f t="shared" si="44"/>
        <v/>
      </c>
      <c r="X333" s="62" t="str">
        <f t="shared" si="45"/>
        <v/>
      </c>
      <c r="Y333" s="45"/>
      <c r="Z333" s="44"/>
      <c r="AA333" s="41"/>
      <c r="AB333" s="39"/>
      <c r="AC333" s="37" t="str">
        <f t="shared" si="46"/>
        <v/>
      </c>
    </row>
    <row r="334" spans="2:29" x14ac:dyDescent="0.25">
      <c r="B334" s="54">
        <v>328</v>
      </c>
      <c r="C334" s="168"/>
      <c r="D334" s="51"/>
      <c r="E334" s="29"/>
      <c r="F334" s="48"/>
      <c r="G334" s="29"/>
      <c r="H334" s="187"/>
      <c r="I334" s="187"/>
      <c r="J334" s="195"/>
      <c r="K334" s="86" t="str">
        <f t="shared" si="40"/>
        <v/>
      </c>
      <c r="L334" s="57" t="str">
        <f t="shared" si="47"/>
        <v/>
      </c>
      <c r="M334" s="186"/>
      <c r="N334" s="189"/>
      <c r="O334" s="190"/>
      <c r="P334" s="190" t="str">
        <f>IF(OR(ISBLANK(V334),COUNTBLANK(V334:$V$1048576)=ROWS(V334:$V$1048576)),"",$R$2*(1+SUM(V$7:V334)))</f>
        <v/>
      </c>
      <c r="Q334" s="191"/>
      <c r="R334" s="189"/>
      <c r="S334" s="53" t="str">
        <f t="shared" si="41"/>
        <v/>
      </c>
      <c r="T334" s="63" t="str">
        <f t="shared" si="42"/>
        <v/>
      </c>
      <c r="U334" s="64" t="str">
        <f>IF(OR(ISBLANK(Trades!R334), ISBLANK(Trades!H334), ISBLANK(Trades!I334)), "", IF(Trades!H334=Trades!I334, "N/A", (Trades!R334-Trades!H334)/(Trades!H334-Trades!I334)))</f>
        <v/>
      </c>
      <c r="V334" s="65" t="str">
        <f t="shared" si="43"/>
        <v/>
      </c>
      <c r="W334" s="66" t="str">
        <f t="shared" si="44"/>
        <v/>
      </c>
      <c r="X334" s="62" t="str">
        <f t="shared" si="45"/>
        <v/>
      </c>
      <c r="Y334" s="45"/>
      <c r="Z334" s="44"/>
      <c r="AA334" s="41"/>
      <c r="AB334" s="39"/>
      <c r="AC334" s="37" t="str">
        <f t="shared" si="46"/>
        <v/>
      </c>
    </row>
    <row r="335" spans="2:29" x14ac:dyDescent="0.25">
      <c r="B335" s="54">
        <v>329</v>
      </c>
      <c r="C335" s="168"/>
      <c r="D335" s="51"/>
      <c r="E335" s="29"/>
      <c r="F335" s="48"/>
      <c r="G335" s="29"/>
      <c r="H335" s="187"/>
      <c r="I335" s="187"/>
      <c r="J335" s="195"/>
      <c r="K335" s="86" t="str">
        <f t="shared" si="40"/>
        <v/>
      </c>
      <c r="L335" s="57" t="str">
        <f t="shared" si="47"/>
        <v/>
      </c>
      <c r="M335" s="186"/>
      <c r="N335" s="189"/>
      <c r="O335" s="190"/>
      <c r="P335" s="190" t="str">
        <f>IF(OR(ISBLANK(V335),COUNTBLANK(V335:$V$1048576)=ROWS(V335:$V$1048576)),"",$R$2*(1+SUM(V$7:V335)))</f>
        <v/>
      </c>
      <c r="Q335" s="191"/>
      <c r="R335" s="189"/>
      <c r="S335" s="53" t="str">
        <f t="shared" si="41"/>
        <v/>
      </c>
      <c r="T335" s="63" t="str">
        <f t="shared" si="42"/>
        <v/>
      </c>
      <c r="U335" s="64" t="str">
        <f>IF(OR(ISBLANK(Trades!R335), ISBLANK(Trades!H335), ISBLANK(Trades!I335)), "", IF(Trades!H335=Trades!I335, "N/A", (Trades!R335-Trades!H335)/(Trades!H335-Trades!I335)))</f>
        <v/>
      </c>
      <c r="V335" s="65" t="str">
        <f t="shared" si="43"/>
        <v/>
      </c>
      <c r="W335" s="66" t="str">
        <f t="shared" si="44"/>
        <v/>
      </c>
      <c r="X335" s="62" t="str">
        <f t="shared" si="45"/>
        <v/>
      </c>
      <c r="Y335" s="45"/>
      <c r="Z335" s="44"/>
      <c r="AA335" s="41"/>
      <c r="AB335" s="39"/>
      <c r="AC335" s="37" t="str">
        <f t="shared" si="46"/>
        <v/>
      </c>
    </row>
    <row r="336" spans="2:29" x14ac:dyDescent="0.25">
      <c r="B336" s="54">
        <v>330</v>
      </c>
      <c r="C336" s="168"/>
      <c r="D336" s="51"/>
      <c r="E336" s="29"/>
      <c r="F336" s="48"/>
      <c r="G336" s="29"/>
      <c r="H336" s="187"/>
      <c r="I336" s="187"/>
      <c r="J336" s="195"/>
      <c r="K336" s="86" t="str">
        <f t="shared" si="40"/>
        <v/>
      </c>
      <c r="L336" s="57" t="str">
        <f t="shared" si="47"/>
        <v/>
      </c>
      <c r="M336" s="186"/>
      <c r="N336" s="189"/>
      <c r="O336" s="190"/>
      <c r="P336" s="190" t="str">
        <f>IF(OR(ISBLANK(V336),COUNTBLANK(V336:$V$1048576)=ROWS(V336:$V$1048576)),"",$R$2*(1+SUM(V$7:V336)))</f>
        <v/>
      </c>
      <c r="Q336" s="191"/>
      <c r="R336" s="189"/>
      <c r="S336" s="53" t="str">
        <f t="shared" si="41"/>
        <v/>
      </c>
      <c r="T336" s="63" t="str">
        <f t="shared" si="42"/>
        <v/>
      </c>
      <c r="U336" s="64" t="str">
        <f>IF(OR(ISBLANK(Trades!R336), ISBLANK(Trades!H336), ISBLANK(Trades!I336)), "", IF(Trades!H336=Trades!I336, "N/A", (Trades!R336-Trades!H336)/(Trades!H336-Trades!I336)))</f>
        <v/>
      </c>
      <c r="V336" s="65" t="str">
        <f t="shared" si="43"/>
        <v/>
      </c>
      <c r="W336" s="66" t="str">
        <f t="shared" si="44"/>
        <v/>
      </c>
      <c r="X336" s="62" t="str">
        <f t="shared" si="45"/>
        <v/>
      </c>
      <c r="Y336" s="45"/>
      <c r="Z336" s="44"/>
      <c r="AA336" s="41"/>
      <c r="AB336" s="39"/>
      <c r="AC336" s="37" t="str">
        <f t="shared" si="46"/>
        <v/>
      </c>
    </row>
    <row r="337" spans="2:29" x14ac:dyDescent="0.25">
      <c r="B337" s="54">
        <v>331</v>
      </c>
      <c r="C337" s="168"/>
      <c r="D337" s="51"/>
      <c r="E337" s="29"/>
      <c r="F337" s="48"/>
      <c r="G337" s="29"/>
      <c r="H337" s="187"/>
      <c r="I337" s="187"/>
      <c r="J337" s="195"/>
      <c r="K337" s="86" t="str">
        <f t="shared" si="40"/>
        <v/>
      </c>
      <c r="L337" s="57" t="str">
        <f t="shared" si="47"/>
        <v/>
      </c>
      <c r="M337" s="186"/>
      <c r="N337" s="189"/>
      <c r="O337" s="190"/>
      <c r="P337" s="190" t="str">
        <f>IF(OR(ISBLANK(V337),COUNTBLANK(V337:$V$1048576)=ROWS(V337:$V$1048576)),"",$R$2*(1+SUM(V$7:V337)))</f>
        <v/>
      </c>
      <c r="Q337" s="191"/>
      <c r="R337" s="189"/>
      <c r="S337" s="53" t="str">
        <f t="shared" si="41"/>
        <v/>
      </c>
      <c r="T337" s="63" t="str">
        <f t="shared" si="42"/>
        <v/>
      </c>
      <c r="U337" s="64" t="str">
        <f>IF(OR(ISBLANK(Trades!R337), ISBLANK(Trades!H337), ISBLANK(Trades!I337)), "", IF(Trades!H337=Trades!I337, "N/A", (Trades!R337-Trades!H337)/(Trades!H337-Trades!I337)))</f>
        <v/>
      </c>
      <c r="V337" s="65" t="str">
        <f t="shared" si="43"/>
        <v/>
      </c>
      <c r="W337" s="66" t="str">
        <f t="shared" si="44"/>
        <v/>
      </c>
      <c r="X337" s="62" t="str">
        <f t="shared" si="45"/>
        <v/>
      </c>
      <c r="Y337" s="45"/>
      <c r="Z337" s="44"/>
      <c r="AA337" s="41"/>
      <c r="AB337" s="39"/>
      <c r="AC337" s="37" t="str">
        <f t="shared" si="46"/>
        <v/>
      </c>
    </row>
    <row r="338" spans="2:29" x14ac:dyDescent="0.25">
      <c r="B338" s="54">
        <v>332</v>
      </c>
      <c r="C338" s="168"/>
      <c r="D338" s="51"/>
      <c r="E338" s="29"/>
      <c r="F338" s="48"/>
      <c r="G338" s="29"/>
      <c r="H338" s="187"/>
      <c r="I338" s="187"/>
      <c r="J338" s="195"/>
      <c r="K338" s="86" t="str">
        <f t="shared" si="40"/>
        <v/>
      </c>
      <c r="L338" s="57" t="str">
        <f t="shared" si="47"/>
        <v/>
      </c>
      <c r="M338" s="186"/>
      <c r="N338" s="189"/>
      <c r="O338" s="190"/>
      <c r="P338" s="190" t="str">
        <f>IF(OR(ISBLANK(V338),COUNTBLANK(V338:$V$1048576)=ROWS(V338:$V$1048576)),"",$R$2*(1+SUM(V$7:V338)))</f>
        <v/>
      </c>
      <c r="Q338" s="191"/>
      <c r="R338" s="189"/>
      <c r="S338" s="53" t="str">
        <f t="shared" si="41"/>
        <v/>
      </c>
      <c r="T338" s="63" t="str">
        <f t="shared" si="42"/>
        <v/>
      </c>
      <c r="U338" s="64" t="str">
        <f>IF(OR(ISBLANK(Trades!R338), ISBLANK(Trades!H338), ISBLANK(Trades!I338)), "", IF(Trades!H338=Trades!I338, "N/A", (Trades!R338-Trades!H338)/(Trades!H338-Trades!I338)))</f>
        <v/>
      </c>
      <c r="V338" s="65" t="str">
        <f t="shared" si="43"/>
        <v/>
      </c>
      <c r="W338" s="66" t="str">
        <f t="shared" si="44"/>
        <v/>
      </c>
      <c r="X338" s="62" t="str">
        <f t="shared" si="45"/>
        <v/>
      </c>
      <c r="Y338" s="45"/>
      <c r="Z338" s="44"/>
      <c r="AA338" s="41"/>
      <c r="AB338" s="39"/>
      <c r="AC338" s="37" t="str">
        <f t="shared" si="46"/>
        <v/>
      </c>
    </row>
    <row r="339" spans="2:29" x14ac:dyDescent="0.25">
      <c r="B339" s="54">
        <v>333</v>
      </c>
      <c r="C339" s="168"/>
      <c r="D339" s="51"/>
      <c r="E339" s="29"/>
      <c r="F339" s="48"/>
      <c r="G339" s="29"/>
      <c r="H339" s="187"/>
      <c r="I339" s="187"/>
      <c r="J339" s="195"/>
      <c r="K339" s="86" t="str">
        <f t="shared" si="40"/>
        <v/>
      </c>
      <c r="L339" s="57" t="str">
        <f t="shared" si="47"/>
        <v/>
      </c>
      <c r="M339" s="186"/>
      <c r="N339" s="189"/>
      <c r="O339" s="190"/>
      <c r="P339" s="190" t="str">
        <f>IF(OR(ISBLANK(V339),COUNTBLANK(V339:$V$1048576)=ROWS(V339:$V$1048576)),"",$R$2*(1+SUM(V$7:V339)))</f>
        <v/>
      </c>
      <c r="Q339" s="191"/>
      <c r="R339" s="189"/>
      <c r="S339" s="53" t="str">
        <f t="shared" si="41"/>
        <v/>
      </c>
      <c r="T339" s="63" t="str">
        <f t="shared" si="42"/>
        <v/>
      </c>
      <c r="U339" s="64" t="str">
        <f>IF(OR(ISBLANK(Trades!R339), ISBLANK(Trades!H339), ISBLANK(Trades!I339)), "", IF(Trades!H339=Trades!I339, "N/A", (Trades!R339-Trades!H339)/(Trades!H339-Trades!I339)))</f>
        <v/>
      </c>
      <c r="V339" s="65" t="str">
        <f t="shared" si="43"/>
        <v/>
      </c>
      <c r="W339" s="66" t="str">
        <f t="shared" si="44"/>
        <v/>
      </c>
      <c r="X339" s="62" t="str">
        <f t="shared" si="45"/>
        <v/>
      </c>
      <c r="Y339" s="45"/>
      <c r="Z339" s="44"/>
      <c r="AA339" s="41"/>
      <c r="AB339" s="39"/>
      <c r="AC339" s="37" t="str">
        <f t="shared" si="46"/>
        <v/>
      </c>
    </row>
    <row r="340" spans="2:29" x14ac:dyDescent="0.25">
      <c r="B340" s="54">
        <v>334</v>
      </c>
      <c r="C340" s="168"/>
      <c r="D340" s="51"/>
      <c r="E340" s="29"/>
      <c r="F340" s="48"/>
      <c r="G340" s="29"/>
      <c r="H340" s="187"/>
      <c r="I340" s="187"/>
      <c r="J340" s="195"/>
      <c r="K340" s="86" t="str">
        <f t="shared" si="40"/>
        <v/>
      </c>
      <c r="L340" s="57" t="str">
        <f t="shared" si="47"/>
        <v/>
      </c>
      <c r="M340" s="186"/>
      <c r="N340" s="189"/>
      <c r="O340" s="190"/>
      <c r="P340" s="190" t="str">
        <f>IF(OR(ISBLANK(V340),COUNTBLANK(V340:$V$1048576)=ROWS(V340:$V$1048576)),"",$R$2*(1+SUM(V$7:V340)))</f>
        <v/>
      </c>
      <c r="Q340" s="191"/>
      <c r="R340" s="189"/>
      <c r="S340" s="53" t="str">
        <f t="shared" si="41"/>
        <v/>
      </c>
      <c r="T340" s="63" t="str">
        <f t="shared" si="42"/>
        <v/>
      </c>
      <c r="U340" s="64" t="str">
        <f>IF(OR(ISBLANK(Trades!R340), ISBLANK(Trades!H340), ISBLANK(Trades!I340)), "", IF(Trades!H340=Trades!I340, "N/A", (Trades!R340-Trades!H340)/(Trades!H340-Trades!I340)))</f>
        <v/>
      </c>
      <c r="V340" s="65" t="str">
        <f t="shared" si="43"/>
        <v/>
      </c>
      <c r="W340" s="66" t="str">
        <f t="shared" si="44"/>
        <v/>
      </c>
      <c r="X340" s="62" t="str">
        <f t="shared" si="45"/>
        <v/>
      </c>
      <c r="Y340" s="45"/>
      <c r="Z340" s="44"/>
      <c r="AA340" s="41"/>
      <c r="AB340" s="39"/>
      <c r="AC340" s="37" t="str">
        <f t="shared" si="46"/>
        <v/>
      </c>
    </row>
    <row r="341" spans="2:29" x14ac:dyDescent="0.25">
      <c r="B341" s="54">
        <v>335</v>
      </c>
      <c r="C341" s="168"/>
      <c r="D341" s="51"/>
      <c r="E341" s="29"/>
      <c r="F341" s="48"/>
      <c r="G341" s="29"/>
      <c r="H341" s="187"/>
      <c r="I341" s="187"/>
      <c r="J341" s="195"/>
      <c r="K341" s="86" t="str">
        <f t="shared" si="40"/>
        <v/>
      </c>
      <c r="L341" s="57" t="str">
        <f t="shared" si="47"/>
        <v/>
      </c>
      <c r="M341" s="186"/>
      <c r="N341" s="189"/>
      <c r="O341" s="190"/>
      <c r="P341" s="190" t="str">
        <f>IF(OR(ISBLANK(V341),COUNTBLANK(V341:$V$1048576)=ROWS(V341:$V$1048576)),"",$R$2*(1+SUM(V$7:V341)))</f>
        <v/>
      </c>
      <c r="Q341" s="191"/>
      <c r="R341" s="189"/>
      <c r="S341" s="53" t="str">
        <f t="shared" si="41"/>
        <v/>
      </c>
      <c r="T341" s="63" t="str">
        <f t="shared" si="42"/>
        <v/>
      </c>
      <c r="U341" s="64" t="str">
        <f>IF(OR(ISBLANK(Trades!R341), ISBLANK(Trades!H341), ISBLANK(Trades!I341)), "", IF(Trades!H341=Trades!I341, "N/A", (Trades!R341-Trades!H341)/(Trades!H341-Trades!I341)))</f>
        <v/>
      </c>
      <c r="V341" s="65" t="str">
        <f t="shared" si="43"/>
        <v/>
      </c>
      <c r="W341" s="66" t="str">
        <f t="shared" si="44"/>
        <v/>
      </c>
      <c r="X341" s="62" t="str">
        <f t="shared" si="45"/>
        <v/>
      </c>
      <c r="Y341" s="45"/>
      <c r="Z341" s="44"/>
      <c r="AA341" s="41"/>
      <c r="AB341" s="39"/>
      <c r="AC341" s="37" t="str">
        <f t="shared" si="46"/>
        <v/>
      </c>
    </row>
    <row r="342" spans="2:29" x14ac:dyDescent="0.25">
      <c r="B342" s="54">
        <v>336</v>
      </c>
      <c r="C342" s="168"/>
      <c r="D342" s="51"/>
      <c r="E342" s="29"/>
      <c r="F342" s="48"/>
      <c r="G342" s="29"/>
      <c r="H342" s="187"/>
      <c r="I342" s="187"/>
      <c r="J342" s="195"/>
      <c r="K342" s="86" t="str">
        <f t="shared" si="40"/>
        <v/>
      </c>
      <c r="L342" s="57" t="str">
        <f t="shared" si="47"/>
        <v/>
      </c>
      <c r="M342" s="186"/>
      <c r="N342" s="189"/>
      <c r="O342" s="190"/>
      <c r="P342" s="190" t="str">
        <f>IF(OR(ISBLANK(V342),COUNTBLANK(V342:$V$1048576)=ROWS(V342:$V$1048576)),"",$R$2*(1+SUM(V$7:V342)))</f>
        <v/>
      </c>
      <c r="Q342" s="191"/>
      <c r="R342" s="189"/>
      <c r="S342" s="53" t="str">
        <f t="shared" si="41"/>
        <v/>
      </c>
      <c r="T342" s="63" t="str">
        <f t="shared" si="42"/>
        <v/>
      </c>
      <c r="U342" s="64" t="str">
        <f>IF(OR(ISBLANK(Trades!R342), ISBLANK(Trades!H342), ISBLANK(Trades!I342)), "", IF(Trades!H342=Trades!I342, "N/A", (Trades!R342-Trades!H342)/(Trades!H342-Trades!I342)))</f>
        <v/>
      </c>
      <c r="V342" s="65" t="str">
        <f t="shared" si="43"/>
        <v/>
      </c>
      <c r="W342" s="66" t="str">
        <f t="shared" si="44"/>
        <v/>
      </c>
      <c r="X342" s="62" t="str">
        <f t="shared" si="45"/>
        <v/>
      </c>
      <c r="Y342" s="45"/>
      <c r="Z342" s="44"/>
      <c r="AA342" s="41"/>
      <c r="AB342" s="39"/>
      <c r="AC342" s="37" t="str">
        <f t="shared" si="46"/>
        <v/>
      </c>
    </row>
    <row r="343" spans="2:29" x14ac:dyDescent="0.25">
      <c r="B343" s="54">
        <v>337</v>
      </c>
      <c r="C343" s="168"/>
      <c r="D343" s="51"/>
      <c r="E343" s="29"/>
      <c r="F343" s="48"/>
      <c r="G343" s="29"/>
      <c r="H343" s="187"/>
      <c r="I343" s="187"/>
      <c r="J343" s="195"/>
      <c r="K343" s="86" t="str">
        <f t="shared" si="40"/>
        <v/>
      </c>
      <c r="L343" s="57" t="str">
        <f t="shared" si="47"/>
        <v/>
      </c>
      <c r="M343" s="186"/>
      <c r="N343" s="189"/>
      <c r="O343" s="190"/>
      <c r="P343" s="190" t="str">
        <f>IF(OR(ISBLANK(V343),COUNTBLANK(V343:$V$1048576)=ROWS(V343:$V$1048576)),"",$R$2*(1+SUM(V$7:V343)))</f>
        <v/>
      </c>
      <c r="Q343" s="191"/>
      <c r="R343" s="189"/>
      <c r="S343" s="53" t="str">
        <f t="shared" si="41"/>
        <v/>
      </c>
      <c r="T343" s="63" t="str">
        <f t="shared" si="42"/>
        <v/>
      </c>
      <c r="U343" s="64" t="str">
        <f>IF(OR(ISBLANK(Trades!R343), ISBLANK(Trades!H343), ISBLANK(Trades!I343)), "", IF(Trades!H343=Trades!I343, "N/A", (Trades!R343-Trades!H343)/(Trades!H343-Trades!I343)))</f>
        <v/>
      </c>
      <c r="V343" s="65" t="str">
        <f t="shared" si="43"/>
        <v/>
      </c>
      <c r="W343" s="66" t="str">
        <f t="shared" si="44"/>
        <v/>
      </c>
      <c r="X343" s="62" t="str">
        <f t="shared" si="45"/>
        <v/>
      </c>
      <c r="Y343" s="45"/>
      <c r="Z343" s="44"/>
      <c r="AA343" s="41"/>
      <c r="AB343" s="39"/>
      <c r="AC343" s="37" t="str">
        <f t="shared" si="46"/>
        <v/>
      </c>
    </row>
    <row r="344" spans="2:29" x14ac:dyDescent="0.25">
      <c r="B344" s="54">
        <v>338</v>
      </c>
      <c r="C344" s="168"/>
      <c r="D344" s="51"/>
      <c r="E344" s="29"/>
      <c r="F344" s="48"/>
      <c r="G344" s="29"/>
      <c r="H344" s="187"/>
      <c r="I344" s="187"/>
      <c r="J344" s="195"/>
      <c r="K344" s="86" t="str">
        <f t="shared" si="40"/>
        <v/>
      </c>
      <c r="L344" s="57" t="str">
        <f t="shared" si="47"/>
        <v/>
      </c>
      <c r="M344" s="186"/>
      <c r="N344" s="189"/>
      <c r="O344" s="190"/>
      <c r="P344" s="190" t="str">
        <f>IF(OR(ISBLANK(V344),COUNTBLANK(V344:$V$1048576)=ROWS(V344:$V$1048576)),"",$R$2*(1+SUM(V$7:V344)))</f>
        <v/>
      </c>
      <c r="Q344" s="191"/>
      <c r="R344" s="189"/>
      <c r="S344" s="53" t="str">
        <f t="shared" si="41"/>
        <v/>
      </c>
      <c r="T344" s="63" t="str">
        <f t="shared" si="42"/>
        <v/>
      </c>
      <c r="U344" s="64" t="str">
        <f>IF(OR(ISBLANK(Trades!R344), ISBLANK(Trades!H344), ISBLANK(Trades!I344)), "", IF(Trades!H344=Trades!I344, "N/A", (Trades!R344-Trades!H344)/(Trades!H344-Trades!I344)))</f>
        <v/>
      </c>
      <c r="V344" s="65" t="str">
        <f t="shared" si="43"/>
        <v/>
      </c>
      <c r="W344" s="66" t="str">
        <f t="shared" si="44"/>
        <v/>
      </c>
      <c r="X344" s="62" t="str">
        <f t="shared" si="45"/>
        <v/>
      </c>
      <c r="Y344" s="45"/>
      <c r="Z344" s="44"/>
      <c r="AA344" s="41"/>
      <c r="AB344" s="39"/>
      <c r="AC344" s="37" t="str">
        <f t="shared" si="46"/>
        <v/>
      </c>
    </row>
    <row r="345" spans="2:29" x14ac:dyDescent="0.25">
      <c r="B345" s="54">
        <v>339</v>
      </c>
      <c r="C345" s="168"/>
      <c r="D345" s="51"/>
      <c r="E345" s="29"/>
      <c r="F345" s="48"/>
      <c r="G345" s="29"/>
      <c r="H345" s="187"/>
      <c r="I345" s="187"/>
      <c r="J345" s="195"/>
      <c r="K345" s="86" t="str">
        <f t="shared" si="40"/>
        <v/>
      </c>
      <c r="L345" s="57" t="str">
        <f t="shared" si="47"/>
        <v/>
      </c>
      <c r="M345" s="186"/>
      <c r="N345" s="189"/>
      <c r="O345" s="190"/>
      <c r="P345" s="190" t="str">
        <f>IF(OR(ISBLANK(V345),COUNTBLANK(V345:$V$1048576)=ROWS(V345:$V$1048576)),"",$R$2*(1+SUM(V$7:V345)))</f>
        <v/>
      </c>
      <c r="Q345" s="191"/>
      <c r="R345" s="189"/>
      <c r="S345" s="53" t="str">
        <f t="shared" si="41"/>
        <v/>
      </c>
      <c r="T345" s="63" t="str">
        <f t="shared" si="42"/>
        <v/>
      </c>
      <c r="U345" s="64" t="str">
        <f>IF(OR(ISBLANK(Trades!R345), ISBLANK(Trades!H345), ISBLANK(Trades!I345)), "", IF(Trades!H345=Trades!I345, "N/A", (Trades!R345-Trades!H345)/(Trades!H345-Trades!I345)))</f>
        <v/>
      </c>
      <c r="V345" s="65" t="str">
        <f t="shared" si="43"/>
        <v/>
      </c>
      <c r="W345" s="66" t="str">
        <f t="shared" si="44"/>
        <v/>
      </c>
      <c r="X345" s="62" t="str">
        <f t="shared" si="45"/>
        <v/>
      </c>
      <c r="Y345" s="45"/>
      <c r="Z345" s="44"/>
      <c r="AA345" s="41"/>
      <c r="AB345" s="39"/>
      <c r="AC345" s="37" t="str">
        <f t="shared" si="46"/>
        <v/>
      </c>
    </row>
    <row r="346" spans="2:29" x14ac:dyDescent="0.25">
      <c r="B346" s="54">
        <v>340</v>
      </c>
      <c r="C346" s="168"/>
      <c r="D346" s="51"/>
      <c r="E346" s="29"/>
      <c r="F346" s="48"/>
      <c r="G346" s="29"/>
      <c r="H346" s="187"/>
      <c r="I346" s="187"/>
      <c r="J346" s="195"/>
      <c r="K346" s="86" t="str">
        <f t="shared" si="40"/>
        <v/>
      </c>
      <c r="L346" s="57" t="str">
        <f t="shared" si="47"/>
        <v/>
      </c>
      <c r="M346" s="186"/>
      <c r="N346" s="189"/>
      <c r="O346" s="190"/>
      <c r="P346" s="190" t="str">
        <f>IF(OR(ISBLANK(V346),COUNTBLANK(V346:$V$1048576)=ROWS(V346:$V$1048576)),"",$R$2*(1+SUM(V$7:V346)))</f>
        <v/>
      </c>
      <c r="Q346" s="191"/>
      <c r="R346" s="189"/>
      <c r="S346" s="53" t="str">
        <f t="shared" si="41"/>
        <v/>
      </c>
      <c r="T346" s="63" t="str">
        <f t="shared" si="42"/>
        <v/>
      </c>
      <c r="U346" s="64" t="str">
        <f>IF(OR(ISBLANK(Trades!R346), ISBLANK(Trades!H346), ISBLANK(Trades!I346)), "", IF(Trades!H346=Trades!I346, "N/A", (Trades!R346-Trades!H346)/(Trades!H346-Trades!I346)))</f>
        <v/>
      </c>
      <c r="V346" s="65" t="str">
        <f t="shared" si="43"/>
        <v/>
      </c>
      <c r="W346" s="66" t="str">
        <f t="shared" si="44"/>
        <v/>
      </c>
      <c r="X346" s="62" t="str">
        <f t="shared" si="45"/>
        <v/>
      </c>
      <c r="Y346" s="45"/>
      <c r="Z346" s="44"/>
      <c r="AA346" s="41"/>
      <c r="AB346" s="39"/>
      <c r="AC346" s="37" t="str">
        <f t="shared" si="46"/>
        <v/>
      </c>
    </row>
    <row r="347" spans="2:29" x14ac:dyDescent="0.25">
      <c r="B347" s="54">
        <v>341</v>
      </c>
      <c r="C347" s="168"/>
      <c r="D347" s="51"/>
      <c r="E347" s="29"/>
      <c r="F347" s="48"/>
      <c r="G347" s="29"/>
      <c r="H347" s="187"/>
      <c r="I347" s="187"/>
      <c r="J347" s="195"/>
      <c r="K347" s="86" t="str">
        <f t="shared" si="40"/>
        <v/>
      </c>
      <c r="L347" s="57" t="str">
        <f t="shared" si="47"/>
        <v/>
      </c>
      <c r="M347" s="186"/>
      <c r="N347" s="189"/>
      <c r="O347" s="190"/>
      <c r="P347" s="190" t="str">
        <f>IF(OR(ISBLANK(V347),COUNTBLANK(V347:$V$1048576)=ROWS(V347:$V$1048576)),"",$R$2*(1+SUM(V$7:V347)))</f>
        <v/>
      </c>
      <c r="Q347" s="191"/>
      <c r="R347" s="189"/>
      <c r="S347" s="53" t="str">
        <f t="shared" si="41"/>
        <v/>
      </c>
      <c r="T347" s="63" t="str">
        <f t="shared" si="42"/>
        <v/>
      </c>
      <c r="U347" s="64" t="str">
        <f>IF(OR(ISBLANK(Trades!R347), ISBLANK(Trades!H347), ISBLANK(Trades!I347)), "", IF(Trades!H347=Trades!I347, "N/A", (Trades!R347-Trades!H347)/(Trades!H347-Trades!I347)))</f>
        <v/>
      </c>
      <c r="V347" s="65" t="str">
        <f t="shared" si="43"/>
        <v/>
      </c>
      <c r="W347" s="66" t="str">
        <f t="shared" si="44"/>
        <v/>
      </c>
      <c r="X347" s="62" t="str">
        <f t="shared" si="45"/>
        <v/>
      </c>
      <c r="Y347" s="45"/>
      <c r="Z347" s="44"/>
      <c r="AA347" s="41"/>
      <c r="AB347" s="39"/>
      <c r="AC347" s="37" t="str">
        <f t="shared" si="46"/>
        <v/>
      </c>
    </row>
    <row r="348" spans="2:29" x14ac:dyDescent="0.25">
      <c r="B348" s="54">
        <v>342</v>
      </c>
      <c r="C348" s="168"/>
      <c r="D348" s="51"/>
      <c r="E348" s="29"/>
      <c r="F348" s="48"/>
      <c r="G348" s="29"/>
      <c r="H348" s="187"/>
      <c r="I348" s="187"/>
      <c r="J348" s="195"/>
      <c r="K348" s="86" t="str">
        <f t="shared" si="40"/>
        <v/>
      </c>
      <c r="L348" s="57" t="str">
        <f t="shared" si="47"/>
        <v/>
      </c>
      <c r="M348" s="186"/>
      <c r="N348" s="189"/>
      <c r="O348" s="190"/>
      <c r="P348" s="190" t="str">
        <f>IF(OR(ISBLANK(V348),COUNTBLANK(V348:$V$1048576)=ROWS(V348:$V$1048576)),"",$R$2*(1+SUM(V$7:V348)))</f>
        <v/>
      </c>
      <c r="Q348" s="191"/>
      <c r="R348" s="189"/>
      <c r="S348" s="53" t="str">
        <f t="shared" si="41"/>
        <v/>
      </c>
      <c r="T348" s="63" t="str">
        <f t="shared" si="42"/>
        <v/>
      </c>
      <c r="U348" s="64" t="str">
        <f>IF(OR(ISBLANK(Trades!R348), ISBLANK(Trades!H348), ISBLANK(Trades!I348)), "", IF(Trades!H348=Trades!I348, "N/A", (Trades!R348-Trades!H348)/(Trades!H348-Trades!I348)))</f>
        <v/>
      </c>
      <c r="V348" s="65" t="str">
        <f t="shared" si="43"/>
        <v/>
      </c>
      <c r="W348" s="66" t="str">
        <f t="shared" si="44"/>
        <v/>
      </c>
      <c r="X348" s="62" t="str">
        <f t="shared" si="45"/>
        <v/>
      </c>
      <c r="Y348" s="45"/>
      <c r="Z348" s="44"/>
      <c r="AA348" s="41"/>
      <c r="AB348" s="39"/>
      <c r="AC348" s="37" t="str">
        <f t="shared" si="46"/>
        <v/>
      </c>
    </row>
    <row r="349" spans="2:29" x14ac:dyDescent="0.25">
      <c r="B349" s="54">
        <v>343</v>
      </c>
      <c r="C349" s="168"/>
      <c r="D349" s="51"/>
      <c r="E349" s="29"/>
      <c r="F349" s="48"/>
      <c r="G349" s="29"/>
      <c r="H349" s="187"/>
      <c r="I349" s="187"/>
      <c r="J349" s="195"/>
      <c r="K349" s="86" t="str">
        <f t="shared" si="40"/>
        <v/>
      </c>
      <c r="L349" s="57" t="str">
        <f t="shared" si="47"/>
        <v/>
      </c>
      <c r="M349" s="186"/>
      <c r="N349" s="189"/>
      <c r="O349" s="190"/>
      <c r="P349" s="190" t="str">
        <f>IF(OR(ISBLANK(V349),COUNTBLANK(V349:$V$1048576)=ROWS(V349:$V$1048576)),"",$R$2*(1+SUM(V$7:V349)))</f>
        <v/>
      </c>
      <c r="Q349" s="191"/>
      <c r="R349" s="189"/>
      <c r="S349" s="53" t="str">
        <f t="shared" si="41"/>
        <v/>
      </c>
      <c r="T349" s="63" t="str">
        <f t="shared" si="42"/>
        <v/>
      </c>
      <c r="U349" s="64" t="str">
        <f>IF(OR(ISBLANK(Trades!R349), ISBLANK(Trades!H349), ISBLANK(Trades!I349)), "", IF(Trades!H349=Trades!I349, "N/A", (Trades!R349-Trades!H349)/(Trades!H349-Trades!I349)))</f>
        <v/>
      </c>
      <c r="V349" s="65" t="str">
        <f t="shared" si="43"/>
        <v/>
      </c>
      <c r="W349" s="66" t="str">
        <f t="shared" si="44"/>
        <v/>
      </c>
      <c r="X349" s="62" t="str">
        <f t="shared" si="45"/>
        <v/>
      </c>
      <c r="Y349" s="45"/>
      <c r="Z349" s="44"/>
      <c r="AA349" s="41"/>
      <c r="AB349" s="39"/>
      <c r="AC349" s="37" t="str">
        <f t="shared" si="46"/>
        <v/>
      </c>
    </row>
    <row r="350" spans="2:29" x14ac:dyDescent="0.25">
      <c r="B350" s="54">
        <v>344</v>
      </c>
      <c r="C350" s="168"/>
      <c r="D350" s="51"/>
      <c r="E350" s="29"/>
      <c r="F350" s="48"/>
      <c r="G350" s="29"/>
      <c r="H350" s="187"/>
      <c r="I350" s="187"/>
      <c r="J350" s="195"/>
      <c r="K350" s="86" t="str">
        <f t="shared" si="40"/>
        <v/>
      </c>
      <c r="L350" s="57" t="str">
        <f t="shared" si="47"/>
        <v/>
      </c>
      <c r="M350" s="186"/>
      <c r="N350" s="189"/>
      <c r="O350" s="190"/>
      <c r="P350" s="190" t="str">
        <f>IF(OR(ISBLANK(V350),COUNTBLANK(V350:$V$1048576)=ROWS(V350:$V$1048576)),"",$R$2*(1+SUM(V$7:V350)))</f>
        <v/>
      </c>
      <c r="Q350" s="191"/>
      <c r="R350" s="189"/>
      <c r="S350" s="53" t="str">
        <f t="shared" si="41"/>
        <v/>
      </c>
      <c r="T350" s="63" t="str">
        <f t="shared" si="42"/>
        <v/>
      </c>
      <c r="U350" s="64" t="str">
        <f>IF(OR(ISBLANK(Trades!R350), ISBLANK(Trades!H350), ISBLANK(Trades!I350)), "", IF(Trades!H350=Trades!I350, "N/A", (Trades!R350-Trades!H350)/(Trades!H350-Trades!I350)))</f>
        <v/>
      </c>
      <c r="V350" s="65" t="str">
        <f t="shared" si="43"/>
        <v/>
      </c>
      <c r="W350" s="66" t="str">
        <f t="shared" si="44"/>
        <v/>
      </c>
      <c r="X350" s="62" t="str">
        <f t="shared" si="45"/>
        <v/>
      </c>
      <c r="Y350" s="45"/>
      <c r="Z350" s="44"/>
      <c r="AA350" s="41"/>
      <c r="AB350" s="39"/>
      <c r="AC350" s="37" t="str">
        <f t="shared" si="46"/>
        <v/>
      </c>
    </row>
    <row r="351" spans="2:29" x14ac:dyDescent="0.25">
      <c r="B351" s="54">
        <v>345</v>
      </c>
      <c r="C351" s="168"/>
      <c r="D351" s="51"/>
      <c r="E351" s="29"/>
      <c r="F351" s="48"/>
      <c r="G351" s="29"/>
      <c r="H351" s="187"/>
      <c r="I351" s="187"/>
      <c r="J351" s="195"/>
      <c r="K351" s="86" t="str">
        <f t="shared" si="40"/>
        <v/>
      </c>
      <c r="L351" s="57" t="str">
        <f t="shared" si="47"/>
        <v/>
      </c>
      <c r="M351" s="186"/>
      <c r="N351" s="189"/>
      <c r="O351" s="190"/>
      <c r="P351" s="190" t="str">
        <f>IF(OR(ISBLANK(V351),COUNTBLANK(V351:$V$1048576)=ROWS(V351:$V$1048576)),"",$R$2*(1+SUM(V$7:V351)))</f>
        <v/>
      </c>
      <c r="Q351" s="191"/>
      <c r="R351" s="189"/>
      <c r="S351" s="53" t="str">
        <f t="shared" si="41"/>
        <v/>
      </c>
      <c r="T351" s="63" t="str">
        <f t="shared" si="42"/>
        <v/>
      </c>
      <c r="U351" s="64" t="str">
        <f>IF(OR(ISBLANK(Trades!R351), ISBLANK(Trades!H351), ISBLANK(Trades!I351)), "", IF(Trades!H351=Trades!I351, "N/A", (Trades!R351-Trades!H351)/(Trades!H351-Trades!I351)))</f>
        <v/>
      </c>
      <c r="V351" s="65" t="str">
        <f t="shared" si="43"/>
        <v/>
      </c>
      <c r="W351" s="66" t="str">
        <f t="shared" si="44"/>
        <v/>
      </c>
      <c r="X351" s="62" t="str">
        <f t="shared" si="45"/>
        <v/>
      </c>
      <c r="Y351" s="45"/>
      <c r="Z351" s="44"/>
      <c r="AA351" s="41"/>
      <c r="AB351" s="39"/>
      <c r="AC351" s="37" t="str">
        <f t="shared" si="46"/>
        <v/>
      </c>
    </row>
    <row r="352" spans="2:29" x14ac:dyDescent="0.25">
      <c r="B352" s="54">
        <v>346</v>
      </c>
      <c r="C352" s="168"/>
      <c r="D352" s="51"/>
      <c r="E352" s="29"/>
      <c r="F352" s="48"/>
      <c r="G352" s="29"/>
      <c r="H352" s="187"/>
      <c r="I352" s="187"/>
      <c r="J352" s="195"/>
      <c r="K352" s="86" t="str">
        <f t="shared" si="40"/>
        <v/>
      </c>
      <c r="L352" s="57" t="str">
        <f t="shared" si="47"/>
        <v/>
      </c>
      <c r="M352" s="186"/>
      <c r="N352" s="189"/>
      <c r="O352" s="190"/>
      <c r="P352" s="190" t="str">
        <f>IF(OR(ISBLANK(V352),COUNTBLANK(V352:$V$1048576)=ROWS(V352:$V$1048576)),"",$R$2*(1+SUM(V$7:V352)))</f>
        <v/>
      </c>
      <c r="Q352" s="191"/>
      <c r="R352" s="189"/>
      <c r="S352" s="53" t="str">
        <f t="shared" si="41"/>
        <v/>
      </c>
      <c r="T352" s="63" t="str">
        <f t="shared" si="42"/>
        <v/>
      </c>
      <c r="U352" s="64" t="str">
        <f>IF(OR(ISBLANK(Trades!R352), ISBLANK(Trades!H352), ISBLANK(Trades!I352)), "", IF(Trades!H352=Trades!I352, "N/A", (Trades!R352-Trades!H352)/(Trades!H352-Trades!I352)))</f>
        <v/>
      </c>
      <c r="V352" s="65" t="str">
        <f t="shared" si="43"/>
        <v/>
      </c>
      <c r="W352" s="66" t="str">
        <f t="shared" si="44"/>
        <v/>
      </c>
      <c r="X352" s="62" t="str">
        <f t="shared" si="45"/>
        <v/>
      </c>
      <c r="Y352" s="45"/>
      <c r="Z352" s="44"/>
      <c r="AA352" s="41"/>
      <c r="AB352" s="39"/>
      <c r="AC352" s="37" t="str">
        <f t="shared" si="46"/>
        <v/>
      </c>
    </row>
    <row r="353" spans="2:29" x14ac:dyDescent="0.25">
      <c r="B353" s="54">
        <v>347</v>
      </c>
      <c r="C353" s="168"/>
      <c r="D353" s="51"/>
      <c r="E353" s="29"/>
      <c r="F353" s="48"/>
      <c r="G353" s="29"/>
      <c r="H353" s="187"/>
      <c r="I353" s="187"/>
      <c r="J353" s="195"/>
      <c r="K353" s="86" t="str">
        <f t="shared" si="40"/>
        <v/>
      </c>
      <c r="L353" s="57" t="str">
        <f t="shared" si="47"/>
        <v/>
      </c>
      <c r="M353" s="186"/>
      <c r="N353" s="189"/>
      <c r="O353" s="190"/>
      <c r="P353" s="190" t="str">
        <f>IF(OR(ISBLANK(V353),COUNTBLANK(V353:$V$1048576)=ROWS(V353:$V$1048576)),"",$R$2*(1+SUM(V$7:V353)))</f>
        <v/>
      </c>
      <c r="Q353" s="191"/>
      <c r="R353" s="189"/>
      <c r="S353" s="53" t="str">
        <f t="shared" si="41"/>
        <v/>
      </c>
      <c r="T353" s="63" t="str">
        <f t="shared" si="42"/>
        <v/>
      </c>
      <c r="U353" s="64" t="str">
        <f>IF(OR(ISBLANK(Trades!R353), ISBLANK(Trades!H353), ISBLANK(Trades!I353)), "", IF(Trades!H353=Trades!I353, "N/A", (Trades!R353-Trades!H353)/(Trades!H353-Trades!I353)))</f>
        <v/>
      </c>
      <c r="V353" s="65" t="str">
        <f t="shared" si="43"/>
        <v/>
      </c>
      <c r="W353" s="66" t="str">
        <f t="shared" si="44"/>
        <v/>
      </c>
      <c r="X353" s="62" t="str">
        <f t="shared" si="45"/>
        <v/>
      </c>
      <c r="Y353" s="45"/>
      <c r="Z353" s="44"/>
      <c r="AA353" s="41"/>
      <c r="AB353" s="39"/>
      <c r="AC353" s="37" t="str">
        <f t="shared" si="46"/>
        <v/>
      </c>
    </row>
    <row r="354" spans="2:29" x14ac:dyDescent="0.25">
      <c r="B354" s="54">
        <v>348</v>
      </c>
      <c r="C354" s="168"/>
      <c r="D354" s="51"/>
      <c r="E354" s="29"/>
      <c r="F354" s="48"/>
      <c r="G354" s="29"/>
      <c r="H354" s="187"/>
      <c r="I354" s="187"/>
      <c r="J354" s="195"/>
      <c r="K354" s="86" t="str">
        <f t="shared" si="40"/>
        <v/>
      </c>
      <c r="L354" s="57" t="str">
        <f t="shared" si="47"/>
        <v/>
      </c>
      <c r="M354" s="186"/>
      <c r="N354" s="189"/>
      <c r="O354" s="190"/>
      <c r="P354" s="190" t="str">
        <f>IF(OR(ISBLANK(V354),COUNTBLANK(V354:$V$1048576)=ROWS(V354:$V$1048576)),"",$R$2*(1+SUM(V$7:V354)))</f>
        <v/>
      </c>
      <c r="Q354" s="191"/>
      <c r="R354" s="189"/>
      <c r="S354" s="53" t="str">
        <f t="shared" si="41"/>
        <v/>
      </c>
      <c r="T354" s="63" t="str">
        <f t="shared" si="42"/>
        <v/>
      </c>
      <c r="U354" s="64" t="str">
        <f>IF(OR(ISBLANK(Trades!R354), ISBLANK(Trades!H354), ISBLANK(Trades!I354)), "", IF(Trades!H354=Trades!I354, "N/A", (Trades!R354-Trades!H354)/(Trades!H354-Trades!I354)))</f>
        <v/>
      </c>
      <c r="V354" s="65" t="str">
        <f t="shared" si="43"/>
        <v/>
      </c>
      <c r="W354" s="66" t="str">
        <f t="shared" si="44"/>
        <v/>
      </c>
      <c r="X354" s="62" t="str">
        <f t="shared" si="45"/>
        <v/>
      </c>
      <c r="Y354" s="45"/>
      <c r="Z354" s="44"/>
      <c r="AA354" s="41"/>
      <c r="AB354" s="39"/>
      <c r="AC354" s="37" t="str">
        <f t="shared" si="46"/>
        <v/>
      </c>
    </row>
    <row r="355" spans="2:29" x14ac:dyDescent="0.25">
      <c r="B355" s="54">
        <v>349</v>
      </c>
      <c r="C355" s="168"/>
      <c r="D355" s="51"/>
      <c r="E355" s="29"/>
      <c r="F355" s="48"/>
      <c r="G355" s="29"/>
      <c r="H355" s="187"/>
      <c r="I355" s="187"/>
      <c r="J355" s="195"/>
      <c r="K355" s="86" t="str">
        <f t="shared" si="40"/>
        <v/>
      </c>
      <c r="L355" s="57" t="str">
        <f t="shared" si="47"/>
        <v/>
      </c>
      <c r="M355" s="186"/>
      <c r="N355" s="189"/>
      <c r="O355" s="190"/>
      <c r="P355" s="190" t="str">
        <f>IF(OR(ISBLANK(V355),COUNTBLANK(V355:$V$1048576)=ROWS(V355:$V$1048576)),"",$R$2*(1+SUM(V$7:V355)))</f>
        <v/>
      </c>
      <c r="Q355" s="191"/>
      <c r="R355" s="189"/>
      <c r="S355" s="53" t="str">
        <f t="shared" si="41"/>
        <v/>
      </c>
      <c r="T355" s="63" t="str">
        <f t="shared" si="42"/>
        <v/>
      </c>
      <c r="U355" s="64" t="str">
        <f>IF(OR(ISBLANK(Trades!R355), ISBLANK(Trades!H355), ISBLANK(Trades!I355)), "", IF(Trades!H355=Trades!I355, "N/A", (Trades!R355-Trades!H355)/(Trades!H355-Trades!I355)))</f>
        <v/>
      </c>
      <c r="V355" s="65" t="str">
        <f t="shared" si="43"/>
        <v/>
      </c>
      <c r="W355" s="66" t="str">
        <f t="shared" si="44"/>
        <v/>
      </c>
      <c r="X355" s="62" t="str">
        <f t="shared" si="45"/>
        <v/>
      </c>
      <c r="Y355" s="45"/>
      <c r="Z355" s="44"/>
      <c r="AA355" s="41"/>
      <c r="AB355" s="39"/>
      <c r="AC355" s="37" t="str">
        <f t="shared" si="46"/>
        <v/>
      </c>
    </row>
    <row r="356" spans="2:29" x14ac:dyDescent="0.25">
      <c r="B356" s="54">
        <v>350</v>
      </c>
      <c r="C356" s="168"/>
      <c r="D356" s="51"/>
      <c r="E356" s="29"/>
      <c r="F356" s="48"/>
      <c r="G356" s="29"/>
      <c r="H356" s="187"/>
      <c r="I356" s="187"/>
      <c r="J356" s="195"/>
      <c r="K356" s="86" t="str">
        <f t="shared" si="40"/>
        <v/>
      </c>
      <c r="L356" s="57" t="str">
        <f t="shared" si="47"/>
        <v/>
      </c>
      <c r="M356" s="186"/>
      <c r="N356" s="189"/>
      <c r="O356" s="190"/>
      <c r="P356" s="190" t="str">
        <f>IF(OR(ISBLANK(V356),COUNTBLANK(V356:$V$1048576)=ROWS(V356:$V$1048576)),"",$R$2*(1+SUM(V$7:V356)))</f>
        <v/>
      </c>
      <c r="Q356" s="191"/>
      <c r="R356" s="189"/>
      <c r="S356" s="53" t="str">
        <f t="shared" si="41"/>
        <v/>
      </c>
      <c r="T356" s="63" t="str">
        <f t="shared" si="42"/>
        <v/>
      </c>
      <c r="U356" s="64" t="str">
        <f>IF(OR(ISBLANK(Trades!R356), ISBLANK(Trades!H356), ISBLANK(Trades!I356)), "", IF(Trades!H356=Trades!I356, "N/A", (Trades!R356-Trades!H356)/(Trades!H356-Trades!I356)))</f>
        <v/>
      </c>
      <c r="V356" s="65" t="str">
        <f t="shared" si="43"/>
        <v/>
      </c>
      <c r="W356" s="66" t="str">
        <f t="shared" si="44"/>
        <v/>
      </c>
      <c r="X356" s="62" t="str">
        <f t="shared" si="45"/>
        <v/>
      </c>
      <c r="Y356" s="45"/>
      <c r="Z356" s="44"/>
      <c r="AA356" s="41"/>
      <c r="AB356" s="39"/>
      <c r="AC356" s="37" t="str">
        <f t="shared" si="46"/>
        <v/>
      </c>
    </row>
    <row r="357" spans="2:29" x14ac:dyDescent="0.25">
      <c r="B357" s="54">
        <v>351</v>
      </c>
      <c r="C357" s="168"/>
      <c r="D357" s="51"/>
      <c r="E357" s="29"/>
      <c r="F357" s="48"/>
      <c r="G357" s="29"/>
      <c r="H357" s="187"/>
      <c r="I357" s="187"/>
      <c r="J357" s="195"/>
      <c r="K357" s="86" t="str">
        <f t="shared" si="40"/>
        <v/>
      </c>
      <c r="L357" s="57" t="str">
        <f t="shared" si="47"/>
        <v/>
      </c>
      <c r="M357" s="186"/>
      <c r="N357" s="189"/>
      <c r="O357" s="190"/>
      <c r="P357" s="190" t="str">
        <f>IF(OR(ISBLANK(V357),COUNTBLANK(V357:$V$1048576)=ROWS(V357:$V$1048576)),"",$R$2*(1+SUM(V$7:V357)))</f>
        <v/>
      </c>
      <c r="Q357" s="191"/>
      <c r="R357" s="189"/>
      <c r="S357" s="53" t="str">
        <f t="shared" si="41"/>
        <v/>
      </c>
      <c r="T357" s="63" t="str">
        <f t="shared" si="42"/>
        <v/>
      </c>
      <c r="U357" s="64" t="str">
        <f>IF(OR(ISBLANK(Trades!R357), ISBLANK(Trades!H357), ISBLANK(Trades!I357)), "", IF(Trades!H357=Trades!I357, "N/A", (Trades!R357-Trades!H357)/(Trades!H357-Trades!I357)))</f>
        <v/>
      </c>
      <c r="V357" s="65" t="str">
        <f t="shared" si="43"/>
        <v/>
      </c>
      <c r="W357" s="66" t="str">
        <f t="shared" si="44"/>
        <v/>
      </c>
      <c r="X357" s="62" t="str">
        <f t="shared" si="45"/>
        <v/>
      </c>
      <c r="Y357" s="45"/>
      <c r="Z357" s="44"/>
      <c r="AA357" s="41"/>
      <c r="AB357" s="39"/>
      <c r="AC357" s="37" t="str">
        <f t="shared" si="46"/>
        <v/>
      </c>
    </row>
    <row r="358" spans="2:29" x14ac:dyDescent="0.25">
      <c r="B358" s="54">
        <v>352</v>
      </c>
      <c r="C358" s="168"/>
      <c r="D358" s="51"/>
      <c r="E358" s="29"/>
      <c r="F358" s="48"/>
      <c r="G358" s="29"/>
      <c r="H358" s="187"/>
      <c r="I358" s="187"/>
      <c r="J358" s="195"/>
      <c r="K358" s="86" t="str">
        <f t="shared" si="40"/>
        <v/>
      </c>
      <c r="L358" s="57" t="str">
        <f t="shared" si="47"/>
        <v/>
      </c>
      <c r="M358" s="186"/>
      <c r="N358" s="189"/>
      <c r="O358" s="190"/>
      <c r="P358" s="190" t="str">
        <f>IF(OR(ISBLANK(V358),COUNTBLANK(V358:$V$1048576)=ROWS(V358:$V$1048576)),"",$R$2*(1+SUM(V$7:V358)))</f>
        <v/>
      </c>
      <c r="Q358" s="191"/>
      <c r="R358" s="189"/>
      <c r="S358" s="53" t="str">
        <f t="shared" si="41"/>
        <v/>
      </c>
      <c r="T358" s="63" t="str">
        <f t="shared" si="42"/>
        <v/>
      </c>
      <c r="U358" s="64" t="str">
        <f>IF(OR(ISBLANK(Trades!R358), ISBLANK(Trades!H358), ISBLANK(Trades!I358)), "", IF(Trades!H358=Trades!I358, "N/A", (Trades!R358-Trades!H358)/(Trades!H358-Trades!I358)))</f>
        <v/>
      </c>
      <c r="V358" s="65" t="str">
        <f t="shared" si="43"/>
        <v/>
      </c>
      <c r="W358" s="66" t="str">
        <f t="shared" si="44"/>
        <v/>
      </c>
      <c r="X358" s="62" t="str">
        <f t="shared" si="45"/>
        <v/>
      </c>
      <c r="Y358" s="45"/>
      <c r="Z358" s="44"/>
      <c r="AA358" s="41"/>
      <c r="AB358" s="39"/>
      <c r="AC358" s="37" t="str">
        <f t="shared" si="46"/>
        <v/>
      </c>
    </row>
    <row r="359" spans="2:29" x14ac:dyDescent="0.25">
      <c r="B359" s="54">
        <v>353</v>
      </c>
      <c r="C359" s="168"/>
      <c r="D359" s="51"/>
      <c r="E359" s="29"/>
      <c r="F359" s="48"/>
      <c r="G359" s="29"/>
      <c r="H359" s="187"/>
      <c r="I359" s="187"/>
      <c r="J359" s="195"/>
      <c r="K359" s="86" t="str">
        <f t="shared" si="40"/>
        <v/>
      </c>
      <c r="L359" s="57" t="str">
        <f t="shared" si="47"/>
        <v/>
      </c>
      <c r="M359" s="186"/>
      <c r="N359" s="189"/>
      <c r="O359" s="190"/>
      <c r="P359" s="190" t="str">
        <f>IF(OR(ISBLANK(V359),COUNTBLANK(V359:$V$1048576)=ROWS(V359:$V$1048576)),"",$R$2*(1+SUM(V$7:V359)))</f>
        <v/>
      </c>
      <c r="Q359" s="191"/>
      <c r="R359" s="189"/>
      <c r="S359" s="53" t="str">
        <f t="shared" si="41"/>
        <v/>
      </c>
      <c r="T359" s="63" t="str">
        <f t="shared" si="42"/>
        <v/>
      </c>
      <c r="U359" s="64" t="str">
        <f>IF(OR(ISBLANK(Trades!R359), ISBLANK(Trades!H359), ISBLANK(Trades!I359)), "", IF(Trades!H359=Trades!I359, "N/A", (Trades!R359-Trades!H359)/(Trades!H359-Trades!I359)))</f>
        <v/>
      </c>
      <c r="V359" s="65" t="str">
        <f t="shared" si="43"/>
        <v/>
      </c>
      <c r="W359" s="66" t="str">
        <f t="shared" si="44"/>
        <v/>
      </c>
      <c r="X359" s="62" t="str">
        <f t="shared" si="45"/>
        <v/>
      </c>
      <c r="Y359" s="45"/>
      <c r="Z359" s="44"/>
      <c r="AA359" s="41"/>
      <c r="AB359" s="39"/>
      <c r="AC359" s="37" t="str">
        <f t="shared" si="46"/>
        <v/>
      </c>
    </row>
    <row r="360" spans="2:29" x14ac:dyDescent="0.25">
      <c r="B360" s="54">
        <v>354</v>
      </c>
      <c r="C360" s="168"/>
      <c r="D360" s="51"/>
      <c r="E360" s="29"/>
      <c r="F360" s="48"/>
      <c r="G360" s="29"/>
      <c r="H360" s="187"/>
      <c r="I360" s="187"/>
      <c r="J360" s="195"/>
      <c r="K360" s="86" t="str">
        <f t="shared" si="40"/>
        <v/>
      </c>
      <c r="L360" s="57" t="str">
        <f t="shared" si="47"/>
        <v/>
      </c>
      <c r="M360" s="186"/>
      <c r="N360" s="189"/>
      <c r="O360" s="190"/>
      <c r="P360" s="190" t="str">
        <f>IF(OR(ISBLANK(V360),COUNTBLANK(V360:$V$1048576)=ROWS(V360:$V$1048576)),"",$R$2*(1+SUM(V$7:V360)))</f>
        <v/>
      </c>
      <c r="Q360" s="191"/>
      <c r="R360" s="189"/>
      <c r="S360" s="53" t="str">
        <f t="shared" si="41"/>
        <v/>
      </c>
      <c r="T360" s="63" t="str">
        <f t="shared" si="42"/>
        <v/>
      </c>
      <c r="U360" s="64" t="str">
        <f>IF(OR(ISBLANK(Trades!R360), ISBLANK(Trades!H360), ISBLANK(Trades!I360)), "", IF(Trades!H360=Trades!I360, "N/A", (Trades!R360-Trades!H360)/(Trades!H360-Trades!I360)))</f>
        <v/>
      </c>
      <c r="V360" s="65" t="str">
        <f t="shared" si="43"/>
        <v/>
      </c>
      <c r="W360" s="66" t="str">
        <f t="shared" si="44"/>
        <v/>
      </c>
      <c r="X360" s="62" t="str">
        <f t="shared" si="45"/>
        <v/>
      </c>
      <c r="Y360" s="45"/>
      <c r="Z360" s="44"/>
      <c r="AA360" s="41"/>
      <c r="AB360" s="39"/>
      <c r="AC360" s="37" t="str">
        <f t="shared" si="46"/>
        <v/>
      </c>
    </row>
    <row r="361" spans="2:29" x14ac:dyDescent="0.25">
      <c r="B361" s="54">
        <v>355</v>
      </c>
      <c r="C361" s="168"/>
      <c r="D361" s="51"/>
      <c r="E361" s="29"/>
      <c r="F361" s="48"/>
      <c r="G361" s="29"/>
      <c r="H361" s="187"/>
      <c r="I361" s="187"/>
      <c r="J361" s="195"/>
      <c r="K361" s="86" t="str">
        <f t="shared" si="40"/>
        <v/>
      </c>
      <c r="L361" s="57" t="str">
        <f t="shared" si="47"/>
        <v/>
      </c>
      <c r="M361" s="186"/>
      <c r="N361" s="189"/>
      <c r="O361" s="190"/>
      <c r="P361" s="190" t="str">
        <f>IF(OR(ISBLANK(V361),COUNTBLANK(V361:$V$1048576)=ROWS(V361:$V$1048576)),"",$R$2*(1+SUM(V$7:V361)))</f>
        <v/>
      </c>
      <c r="Q361" s="191"/>
      <c r="R361" s="189"/>
      <c r="S361" s="53" t="str">
        <f t="shared" si="41"/>
        <v/>
      </c>
      <c r="T361" s="63" t="str">
        <f t="shared" si="42"/>
        <v/>
      </c>
      <c r="U361" s="64" t="str">
        <f>IF(OR(ISBLANK(Trades!R361), ISBLANK(Trades!H361), ISBLANK(Trades!I361)), "", IF(Trades!H361=Trades!I361, "N/A", (Trades!R361-Trades!H361)/(Trades!H361-Trades!I361)))</f>
        <v/>
      </c>
      <c r="V361" s="65" t="str">
        <f t="shared" si="43"/>
        <v/>
      </c>
      <c r="W361" s="66" t="str">
        <f t="shared" si="44"/>
        <v/>
      </c>
      <c r="X361" s="62" t="str">
        <f t="shared" si="45"/>
        <v/>
      </c>
      <c r="Y361" s="45"/>
      <c r="Z361" s="44"/>
      <c r="AA361" s="41"/>
      <c r="AB361" s="39"/>
      <c r="AC361" s="37" t="str">
        <f t="shared" si="46"/>
        <v/>
      </c>
    </row>
    <row r="362" spans="2:29" x14ac:dyDescent="0.25">
      <c r="B362" s="54">
        <v>356</v>
      </c>
      <c r="C362" s="168"/>
      <c r="D362" s="51"/>
      <c r="E362" s="29"/>
      <c r="F362" s="48"/>
      <c r="G362" s="29"/>
      <c r="H362" s="187"/>
      <c r="I362" s="187"/>
      <c r="J362" s="195"/>
      <c r="K362" s="86" t="str">
        <f t="shared" si="40"/>
        <v/>
      </c>
      <c r="L362" s="57" t="str">
        <f t="shared" si="47"/>
        <v/>
      </c>
      <c r="M362" s="186"/>
      <c r="N362" s="189"/>
      <c r="O362" s="190"/>
      <c r="P362" s="190" t="str">
        <f>IF(OR(ISBLANK(V362),COUNTBLANK(V362:$V$1048576)=ROWS(V362:$V$1048576)),"",$R$2*(1+SUM(V$7:V362)))</f>
        <v/>
      </c>
      <c r="Q362" s="191"/>
      <c r="R362" s="189"/>
      <c r="S362" s="53" t="str">
        <f t="shared" si="41"/>
        <v/>
      </c>
      <c r="T362" s="63" t="str">
        <f t="shared" si="42"/>
        <v/>
      </c>
      <c r="U362" s="64" t="str">
        <f>IF(OR(ISBLANK(Trades!R362), ISBLANK(Trades!H362), ISBLANK(Trades!I362)), "", IF(Trades!H362=Trades!I362, "N/A", (Trades!R362-Trades!H362)/(Trades!H362-Trades!I362)))</f>
        <v/>
      </c>
      <c r="V362" s="65" t="str">
        <f t="shared" si="43"/>
        <v/>
      </c>
      <c r="W362" s="66" t="str">
        <f t="shared" si="44"/>
        <v/>
      </c>
      <c r="X362" s="62" t="str">
        <f t="shared" si="45"/>
        <v/>
      </c>
      <c r="Y362" s="45"/>
      <c r="Z362" s="44"/>
      <c r="AA362" s="41"/>
      <c r="AB362" s="39"/>
      <c r="AC362" s="37" t="str">
        <f t="shared" si="46"/>
        <v/>
      </c>
    </row>
    <row r="363" spans="2:29" x14ac:dyDescent="0.25">
      <c r="B363" s="54">
        <v>357</v>
      </c>
      <c r="C363" s="168"/>
      <c r="D363" s="51"/>
      <c r="E363" s="29"/>
      <c r="F363" s="48"/>
      <c r="G363" s="29"/>
      <c r="H363" s="187"/>
      <c r="I363" s="187"/>
      <c r="J363" s="195"/>
      <c r="K363" s="86" t="str">
        <f t="shared" si="40"/>
        <v/>
      </c>
      <c r="L363" s="57" t="str">
        <f t="shared" si="47"/>
        <v/>
      </c>
      <c r="M363" s="186"/>
      <c r="N363" s="189"/>
      <c r="O363" s="190"/>
      <c r="P363" s="190" t="str">
        <f>IF(OR(ISBLANK(V363),COUNTBLANK(V363:$V$1048576)=ROWS(V363:$V$1048576)),"",$R$2*(1+SUM(V$7:V363)))</f>
        <v/>
      </c>
      <c r="Q363" s="191"/>
      <c r="R363" s="189"/>
      <c r="S363" s="53" t="str">
        <f t="shared" si="41"/>
        <v/>
      </c>
      <c r="T363" s="63" t="str">
        <f t="shared" si="42"/>
        <v/>
      </c>
      <c r="U363" s="64" t="str">
        <f>IF(OR(ISBLANK(Trades!R363), ISBLANK(Trades!H363), ISBLANK(Trades!I363)), "", IF(Trades!H363=Trades!I363, "N/A", (Trades!R363-Trades!H363)/(Trades!H363-Trades!I363)))</f>
        <v/>
      </c>
      <c r="V363" s="65" t="str">
        <f t="shared" si="43"/>
        <v/>
      </c>
      <c r="W363" s="66" t="str">
        <f t="shared" si="44"/>
        <v/>
      </c>
      <c r="X363" s="62" t="str">
        <f t="shared" si="45"/>
        <v/>
      </c>
      <c r="Y363" s="45"/>
      <c r="Z363" s="44"/>
      <c r="AA363" s="41"/>
      <c r="AB363" s="39"/>
      <c r="AC363" s="37" t="str">
        <f t="shared" si="46"/>
        <v/>
      </c>
    </row>
    <row r="364" spans="2:29" x14ac:dyDescent="0.25">
      <c r="B364" s="54">
        <v>358</v>
      </c>
      <c r="C364" s="168"/>
      <c r="D364" s="51"/>
      <c r="E364" s="29"/>
      <c r="F364" s="48"/>
      <c r="G364" s="29"/>
      <c r="H364" s="187"/>
      <c r="I364" s="187"/>
      <c r="J364" s="195"/>
      <c r="K364" s="86" t="str">
        <f t="shared" si="40"/>
        <v/>
      </c>
      <c r="L364" s="57" t="str">
        <f t="shared" si="47"/>
        <v/>
      </c>
      <c r="M364" s="186"/>
      <c r="N364" s="189"/>
      <c r="O364" s="190"/>
      <c r="P364" s="190" t="str">
        <f>IF(OR(ISBLANK(V364),COUNTBLANK(V364:$V$1048576)=ROWS(V364:$V$1048576)),"",$R$2*(1+SUM(V$7:V364)))</f>
        <v/>
      </c>
      <c r="Q364" s="191"/>
      <c r="R364" s="189"/>
      <c r="S364" s="53" t="str">
        <f t="shared" si="41"/>
        <v/>
      </c>
      <c r="T364" s="63" t="str">
        <f t="shared" si="42"/>
        <v/>
      </c>
      <c r="U364" s="64" t="str">
        <f>IF(OR(ISBLANK(Trades!R364), ISBLANK(Trades!H364), ISBLANK(Trades!I364)), "", IF(Trades!H364=Trades!I364, "N/A", (Trades!R364-Trades!H364)/(Trades!H364-Trades!I364)))</f>
        <v/>
      </c>
      <c r="V364" s="65" t="str">
        <f t="shared" si="43"/>
        <v/>
      </c>
      <c r="W364" s="66" t="str">
        <f t="shared" si="44"/>
        <v/>
      </c>
      <c r="X364" s="62" t="str">
        <f t="shared" si="45"/>
        <v/>
      </c>
      <c r="Y364" s="45"/>
      <c r="Z364" s="44"/>
      <c r="AA364" s="41"/>
      <c r="AB364" s="39"/>
      <c r="AC364" s="37" t="str">
        <f t="shared" si="46"/>
        <v/>
      </c>
    </row>
    <row r="365" spans="2:29" x14ac:dyDescent="0.25">
      <c r="B365" s="54">
        <v>359</v>
      </c>
      <c r="C365" s="168"/>
      <c r="D365" s="51"/>
      <c r="E365" s="29"/>
      <c r="F365" s="48"/>
      <c r="G365" s="29"/>
      <c r="H365" s="187"/>
      <c r="I365" s="187"/>
      <c r="J365" s="195"/>
      <c r="K365" s="86" t="str">
        <f t="shared" si="40"/>
        <v/>
      </c>
      <c r="L365" s="57" t="str">
        <f t="shared" si="47"/>
        <v/>
      </c>
      <c r="M365" s="186"/>
      <c r="N365" s="189"/>
      <c r="O365" s="190"/>
      <c r="P365" s="190" t="str">
        <f>IF(OR(ISBLANK(V365),COUNTBLANK(V365:$V$1048576)=ROWS(V365:$V$1048576)),"",$R$2*(1+SUM(V$7:V365)))</f>
        <v/>
      </c>
      <c r="Q365" s="191"/>
      <c r="R365" s="189"/>
      <c r="S365" s="53" t="str">
        <f t="shared" si="41"/>
        <v/>
      </c>
      <c r="T365" s="63" t="str">
        <f t="shared" si="42"/>
        <v/>
      </c>
      <c r="U365" s="64" t="str">
        <f>IF(OR(ISBLANK(Trades!R365), ISBLANK(Trades!H365), ISBLANK(Trades!I365)), "", IF(Trades!H365=Trades!I365, "N/A", (Trades!R365-Trades!H365)/(Trades!H365-Trades!I365)))</f>
        <v/>
      </c>
      <c r="V365" s="65" t="str">
        <f t="shared" si="43"/>
        <v/>
      </c>
      <c r="W365" s="66" t="str">
        <f t="shared" si="44"/>
        <v/>
      </c>
      <c r="X365" s="62" t="str">
        <f t="shared" si="45"/>
        <v/>
      </c>
      <c r="Y365" s="45"/>
      <c r="Z365" s="44"/>
      <c r="AA365" s="41"/>
      <c r="AB365" s="39"/>
      <c r="AC365" s="37" t="str">
        <f t="shared" si="46"/>
        <v/>
      </c>
    </row>
    <row r="366" spans="2:29" x14ac:dyDescent="0.25">
      <c r="B366" s="54">
        <v>360</v>
      </c>
      <c r="C366" s="168"/>
      <c r="D366" s="51"/>
      <c r="E366" s="29"/>
      <c r="F366" s="48"/>
      <c r="G366" s="29"/>
      <c r="H366" s="187"/>
      <c r="I366" s="187"/>
      <c r="J366" s="195"/>
      <c r="K366" s="86" t="str">
        <f t="shared" si="40"/>
        <v/>
      </c>
      <c r="L366" s="57" t="str">
        <f t="shared" si="47"/>
        <v/>
      </c>
      <c r="M366" s="186"/>
      <c r="N366" s="189"/>
      <c r="O366" s="190"/>
      <c r="P366" s="190" t="str">
        <f>IF(OR(ISBLANK(V366),COUNTBLANK(V366:$V$1048576)=ROWS(V366:$V$1048576)),"",$R$2*(1+SUM(V$7:V366)))</f>
        <v/>
      </c>
      <c r="Q366" s="191"/>
      <c r="R366" s="189"/>
      <c r="S366" s="53" t="str">
        <f t="shared" si="41"/>
        <v/>
      </c>
      <c r="T366" s="63" t="str">
        <f t="shared" si="42"/>
        <v/>
      </c>
      <c r="U366" s="64" t="str">
        <f>IF(OR(ISBLANK(Trades!R366), ISBLANK(Trades!H366), ISBLANK(Trades!I366)), "", IF(Trades!H366=Trades!I366, "N/A", (Trades!R366-Trades!H366)/(Trades!H366-Trades!I366)))</f>
        <v/>
      </c>
      <c r="V366" s="65" t="str">
        <f t="shared" si="43"/>
        <v/>
      </c>
      <c r="W366" s="66" t="str">
        <f t="shared" si="44"/>
        <v/>
      </c>
      <c r="X366" s="62" t="str">
        <f t="shared" si="45"/>
        <v/>
      </c>
      <c r="Y366" s="45"/>
      <c r="Z366" s="44"/>
      <c r="AA366" s="41"/>
      <c r="AB366" s="39"/>
      <c r="AC366" s="37" t="str">
        <f t="shared" si="46"/>
        <v/>
      </c>
    </row>
    <row r="367" spans="2:29" x14ac:dyDescent="0.25">
      <c r="B367" s="54">
        <v>361</v>
      </c>
      <c r="C367" s="168"/>
      <c r="D367" s="51"/>
      <c r="E367" s="29"/>
      <c r="F367" s="48"/>
      <c r="G367" s="29"/>
      <c r="H367" s="187"/>
      <c r="I367" s="187"/>
      <c r="J367" s="195"/>
      <c r="K367" s="86" t="str">
        <f t="shared" si="40"/>
        <v/>
      </c>
      <c r="L367" s="57" t="str">
        <f t="shared" si="47"/>
        <v/>
      </c>
      <c r="M367" s="186"/>
      <c r="N367" s="189"/>
      <c r="O367" s="190"/>
      <c r="P367" s="190" t="str">
        <f>IF(OR(ISBLANK(V367),COUNTBLANK(V367:$V$1048576)=ROWS(V367:$V$1048576)),"",$R$2*(1+SUM(V$7:V367)))</f>
        <v/>
      </c>
      <c r="Q367" s="191"/>
      <c r="R367" s="189"/>
      <c r="S367" s="53" t="str">
        <f t="shared" si="41"/>
        <v/>
      </c>
      <c r="T367" s="63" t="str">
        <f t="shared" si="42"/>
        <v/>
      </c>
      <c r="U367" s="64" t="str">
        <f>IF(OR(ISBLANK(Trades!R367), ISBLANK(Trades!H367), ISBLANK(Trades!I367)), "", IF(Trades!H367=Trades!I367, "N/A", (Trades!R367-Trades!H367)/(Trades!H367-Trades!I367)))</f>
        <v/>
      </c>
      <c r="V367" s="65" t="str">
        <f t="shared" si="43"/>
        <v/>
      </c>
      <c r="W367" s="66" t="str">
        <f t="shared" si="44"/>
        <v/>
      </c>
      <c r="X367" s="62" t="str">
        <f t="shared" si="45"/>
        <v/>
      </c>
      <c r="Y367" s="45"/>
      <c r="Z367" s="44"/>
      <c r="AA367" s="41"/>
      <c r="AB367" s="39"/>
      <c r="AC367" s="37" t="str">
        <f t="shared" si="46"/>
        <v/>
      </c>
    </row>
    <row r="368" spans="2:29" x14ac:dyDescent="0.25">
      <c r="B368" s="54">
        <v>362</v>
      </c>
      <c r="C368" s="168"/>
      <c r="D368" s="51"/>
      <c r="E368" s="29"/>
      <c r="F368" s="48"/>
      <c r="G368" s="29"/>
      <c r="H368" s="187"/>
      <c r="I368" s="187"/>
      <c r="J368" s="195"/>
      <c r="K368" s="86" t="str">
        <f t="shared" si="40"/>
        <v/>
      </c>
      <c r="L368" s="57" t="str">
        <f t="shared" si="47"/>
        <v/>
      </c>
      <c r="M368" s="186"/>
      <c r="N368" s="189"/>
      <c r="O368" s="190"/>
      <c r="P368" s="190" t="str">
        <f>IF(OR(ISBLANK(V368),COUNTBLANK(V368:$V$1048576)=ROWS(V368:$V$1048576)),"",$R$2*(1+SUM(V$7:V368)))</f>
        <v/>
      </c>
      <c r="Q368" s="191"/>
      <c r="R368" s="189"/>
      <c r="S368" s="53" t="str">
        <f t="shared" si="41"/>
        <v/>
      </c>
      <c r="T368" s="63" t="str">
        <f t="shared" si="42"/>
        <v/>
      </c>
      <c r="U368" s="64" t="str">
        <f>IF(OR(ISBLANK(Trades!R368), ISBLANK(Trades!H368), ISBLANK(Trades!I368)), "", IF(Trades!H368=Trades!I368, "N/A", (Trades!R368-Trades!H368)/(Trades!H368-Trades!I368)))</f>
        <v/>
      </c>
      <c r="V368" s="65" t="str">
        <f t="shared" si="43"/>
        <v/>
      </c>
      <c r="W368" s="66" t="str">
        <f t="shared" si="44"/>
        <v/>
      </c>
      <c r="X368" s="62" t="str">
        <f t="shared" si="45"/>
        <v/>
      </c>
      <c r="Y368" s="45"/>
      <c r="Z368" s="44"/>
      <c r="AA368" s="41"/>
      <c r="AB368" s="39"/>
      <c r="AC368" s="37" t="str">
        <f t="shared" si="46"/>
        <v/>
      </c>
    </row>
    <row r="369" spans="2:29" x14ac:dyDescent="0.25">
      <c r="B369" s="54">
        <v>363</v>
      </c>
      <c r="C369" s="168"/>
      <c r="D369" s="51"/>
      <c r="E369" s="29"/>
      <c r="F369" s="48"/>
      <c r="G369" s="29"/>
      <c r="H369" s="187"/>
      <c r="I369" s="187"/>
      <c r="J369" s="195"/>
      <c r="K369" s="86" t="str">
        <f t="shared" si="40"/>
        <v/>
      </c>
      <c r="L369" s="57" t="str">
        <f t="shared" si="47"/>
        <v/>
      </c>
      <c r="M369" s="186"/>
      <c r="N369" s="189"/>
      <c r="O369" s="190"/>
      <c r="P369" s="190" t="str">
        <f>IF(OR(ISBLANK(V369),COUNTBLANK(V369:$V$1048576)=ROWS(V369:$V$1048576)),"",$R$2*(1+SUM(V$7:V369)))</f>
        <v/>
      </c>
      <c r="Q369" s="191"/>
      <c r="R369" s="189"/>
      <c r="S369" s="53" t="str">
        <f t="shared" si="41"/>
        <v/>
      </c>
      <c r="T369" s="63" t="str">
        <f t="shared" si="42"/>
        <v/>
      </c>
      <c r="U369" s="64" t="str">
        <f>IF(OR(ISBLANK(Trades!R369), ISBLANK(Trades!H369), ISBLANK(Trades!I369)), "", IF(Trades!H369=Trades!I369, "N/A", (Trades!R369-Trades!H369)/(Trades!H369-Trades!I369)))</f>
        <v/>
      </c>
      <c r="V369" s="65" t="str">
        <f t="shared" si="43"/>
        <v/>
      </c>
      <c r="W369" s="66" t="str">
        <f t="shared" si="44"/>
        <v/>
      </c>
      <c r="X369" s="62" t="str">
        <f t="shared" si="45"/>
        <v/>
      </c>
      <c r="Y369" s="45"/>
      <c r="Z369" s="44"/>
      <c r="AA369" s="41"/>
      <c r="AB369" s="39"/>
      <c r="AC369" s="37" t="str">
        <f t="shared" si="46"/>
        <v/>
      </c>
    </row>
    <row r="370" spans="2:29" x14ac:dyDescent="0.25">
      <c r="B370" s="54">
        <v>364</v>
      </c>
      <c r="C370" s="168"/>
      <c r="D370" s="51"/>
      <c r="E370" s="29"/>
      <c r="F370" s="48"/>
      <c r="G370" s="29"/>
      <c r="H370" s="187"/>
      <c r="I370" s="187"/>
      <c r="J370" s="195"/>
      <c r="K370" s="86" t="str">
        <f t="shared" si="40"/>
        <v/>
      </c>
      <c r="L370" s="57" t="str">
        <f t="shared" si="47"/>
        <v/>
      </c>
      <c r="M370" s="186"/>
      <c r="N370" s="189"/>
      <c r="O370" s="190"/>
      <c r="P370" s="190" t="str">
        <f>IF(OR(ISBLANK(V370),COUNTBLANK(V370:$V$1048576)=ROWS(V370:$V$1048576)),"",$R$2*(1+SUM(V$7:V370)))</f>
        <v/>
      </c>
      <c r="Q370" s="191"/>
      <c r="R370" s="189"/>
      <c r="S370" s="53" t="str">
        <f t="shared" si="41"/>
        <v/>
      </c>
      <c r="T370" s="63" t="str">
        <f t="shared" si="42"/>
        <v/>
      </c>
      <c r="U370" s="64" t="str">
        <f>IF(OR(ISBLANK(Trades!R370), ISBLANK(Trades!H370), ISBLANK(Trades!I370)), "", IF(Trades!H370=Trades!I370, "N/A", (Trades!R370-Trades!H370)/(Trades!H370-Trades!I370)))</f>
        <v/>
      </c>
      <c r="V370" s="65" t="str">
        <f t="shared" si="43"/>
        <v/>
      </c>
      <c r="W370" s="66" t="str">
        <f t="shared" si="44"/>
        <v/>
      </c>
      <c r="X370" s="62" t="str">
        <f t="shared" si="45"/>
        <v/>
      </c>
      <c r="Y370" s="45"/>
      <c r="Z370" s="44"/>
      <c r="AA370" s="41"/>
      <c r="AB370" s="39"/>
      <c r="AC370" s="37" t="str">
        <f t="shared" si="46"/>
        <v/>
      </c>
    </row>
    <row r="371" spans="2:29" x14ac:dyDescent="0.25">
      <c r="B371" s="54">
        <v>365</v>
      </c>
      <c r="C371" s="168"/>
      <c r="D371" s="51"/>
      <c r="E371" s="29"/>
      <c r="F371" s="48"/>
      <c r="G371" s="29"/>
      <c r="H371" s="187"/>
      <c r="I371" s="187"/>
      <c r="J371" s="195"/>
      <c r="K371" s="86" t="str">
        <f t="shared" si="40"/>
        <v/>
      </c>
      <c r="L371" s="57" t="str">
        <f t="shared" si="47"/>
        <v/>
      </c>
      <c r="M371" s="186"/>
      <c r="N371" s="189"/>
      <c r="O371" s="190"/>
      <c r="P371" s="190" t="str">
        <f>IF(OR(ISBLANK(V371),COUNTBLANK(V371:$V$1048576)=ROWS(V371:$V$1048576)),"",$R$2*(1+SUM(V$7:V371)))</f>
        <v/>
      </c>
      <c r="Q371" s="191"/>
      <c r="R371" s="189"/>
      <c r="S371" s="53" t="str">
        <f t="shared" si="41"/>
        <v/>
      </c>
      <c r="T371" s="63" t="str">
        <f t="shared" si="42"/>
        <v/>
      </c>
      <c r="U371" s="64" t="str">
        <f>IF(OR(ISBLANK(Trades!R371), ISBLANK(Trades!H371), ISBLANK(Trades!I371)), "", IF(Trades!H371=Trades!I371, "N/A", (Trades!R371-Trades!H371)/(Trades!H371-Trades!I371)))</f>
        <v/>
      </c>
      <c r="V371" s="65" t="str">
        <f t="shared" si="43"/>
        <v/>
      </c>
      <c r="W371" s="66" t="str">
        <f t="shared" si="44"/>
        <v/>
      </c>
      <c r="X371" s="62" t="str">
        <f t="shared" si="45"/>
        <v/>
      </c>
      <c r="Y371" s="45"/>
      <c r="Z371" s="44"/>
      <c r="AA371" s="41"/>
      <c r="AB371" s="39"/>
      <c r="AC371" s="37" t="str">
        <f t="shared" si="46"/>
        <v/>
      </c>
    </row>
    <row r="372" spans="2:29" x14ac:dyDescent="0.25">
      <c r="B372" s="54">
        <v>366</v>
      </c>
      <c r="C372" s="168"/>
      <c r="D372" s="51"/>
      <c r="E372" s="29"/>
      <c r="F372" s="48"/>
      <c r="G372" s="29"/>
      <c r="H372" s="187"/>
      <c r="I372" s="187"/>
      <c r="J372" s="195"/>
      <c r="K372" s="86" t="str">
        <f t="shared" si="40"/>
        <v/>
      </c>
      <c r="L372" s="57" t="str">
        <f t="shared" si="47"/>
        <v/>
      </c>
      <c r="M372" s="186"/>
      <c r="N372" s="189"/>
      <c r="O372" s="190"/>
      <c r="P372" s="190" t="str">
        <f>IF(OR(ISBLANK(V372),COUNTBLANK(V372:$V$1048576)=ROWS(V372:$V$1048576)),"",$R$2*(1+SUM(V$7:V372)))</f>
        <v/>
      </c>
      <c r="Q372" s="191"/>
      <c r="R372" s="189"/>
      <c r="S372" s="53" t="str">
        <f t="shared" si="41"/>
        <v/>
      </c>
      <c r="T372" s="63" t="str">
        <f t="shared" si="42"/>
        <v/>
      </c>
      <c r="U372" s="64" t="str">
        <f>IF(OR(ISBLANK(Trades!R372), ISBLANK(Trades!H372), ISBLANK(Trades!I372)), "", IF(Trades!H372=Trades!I372, "N/A", (Trades!R372-Trades!H372)/(Trades!H372-Trades!I372)))</f>
        <v/>
      </c>
      <c r="V372" s="65" t="str">
        <f t="shared" si="43"/>
        <v/>
      </c>
      <c r="W372" s="66" t="str">
        <f t="shared" si="44"/>
        <v/>
      </c>
      <c r="X372" s="62" t="str">
        <f t="shared" si="45"/>
        <v/>
      </c>
      <c r="Y372" s="45"/>
      <c r="Z372" s="44"/>
      <c r="AA372" s="41"/>
      <c r="AB372" s="39"/>
      <c r="AC372" s="37" t="str">
        <f t="shared" si="46"/>
        <v/>
      </c>
    </row>
    <row r="373" spans="2:29" x14ac:dyDescent="0.25">
      <c r="B373" s="54">
        <v>367</v>
      </c>
      <c r="C373" s="168"/>
      <c r="D373" s="51"/>
      <c r="E373" s="29"/>
      <c r="F373" s="48"/>
      <c r="G373" s="29"/>
      <c r="H373" s="187"/>
      <c r="I373" s="187"/>
      <c r="J373" s="195"/>
      <c r="K373" s="86" t="str">
        <f t="shared" si="40"/>
        <v/>
      </c>
      <c r="L373" s="57" t="str">
        <f t="shared" si="47"/>
        <v/>
      </c>
      <c r="M373" s="186"/>
      <c r="N373" s="189"/>
      <c r="O373" s="190"/>
      <c r="P373" s="190" t="str">
        <f>IF(OR(ISBLANK(V373),COUNTBLANK(V373:$V$1048576)=ROWS(V373:$V$1048576)),"",$R$2*(1+SUM(V$7:V373)))</f>
        <v/>
      </c>
      <c r="Q373" s="191"/>
      <c r="R373" s="189"/>
      <c r="S373" s="53" t="str">
        <f t="shared" si="41"/>
        <v/>
      </c>
      <c r="T373" s="63" t="str">
        <f t="shared" si="42"/>
        <v/>
      </c>
      <c r="U373" s="64" t="str">
        <f>IF(OR(ISBLANK(Trades!R373), ISBLANK(Trades!H373), ISBLANK(Trades!I373)), "", IF(Trades!H373=Trades!I373, "N/A", (Trades!R373-Trades!H373)/(Trades!H373-Trades!I373)))</f>
        <v/>
      </c>
      <c r="V373" s="65" t="str">
        <f t="shared" si="43"/>
        <v/>
      </c>
      <c r="W373" s="66" t="str">
        <f t="shared" si="44"/>
        <v/>
      </c>
      <c r="X373" s="62" t="str">
        <f t="shared" si="45"/>
        <v/>
      </c>
      <c r="Y373" s="45"/>
      <c r="Z373" s="44"/>
      <c r="AA373" s="41"/>
      <c r="AB373" s="39"/>
      <c r="AC373" s="37" t="str">
        <f t="shared" si="46"/>
        <v/>
      </c>
    </row>
    <row r="374" spans="2:29" x14ac:dyDescent="0.25">
      <c r="B374" s="54">
        <v>368</v>
      </c>
      <c r="C374" s="168"/>
      <c r="D374" s="51"/>
      <c r="E374" s="29"/>
      <c r="F374" s="48"/>
      <c r="G374" s="29"/>
      <c r="H374" s="187"/>
      <c r="I374" s="187"/>
      <c r="J374" s="195"/>
      <c r="K374" s="86" t="str">
        <f t="shared" si="40"/>
        <v/>
      </c>
      <c r="L374" s="57" t="str">
        <f t="shared" si="47"/>
        <v/>
      </c>
      <c r="M374" s="186"/>
      <c r="N374" s="189"/>
      <c r="O374" s="190"/>
      <c r="P374" s="190" t="str">
        <f>IF(OR(ISBLANK(V374),COUNTBLANK(V374:$V$1048576)=ROWS(V374:$V$1048576)),"",$R$2*(1+SUM(V$7:V374)))</f>
        <v/>
      </c>
      <c r="Q374" s="191"/>
      <c r="R374" s="189"/>
      <c r="S374" s="53" t="str">
        <f t="shared" si="41"/>
        <v/>
      </c>
      <c r="T374" s="63" t="str">
        <f t="shared" si="42"/>
        <v/>
      </c>
      <c r="U374" s="64" t="str">
        <f>IF(OR(ISBLANK(Trades!R374), ISBLANK(Trades!H374), ISBLANK(Trades!I374)), "", IF(Trades!H374=Trades!I374, "N/A", (Trades!R374-Trades!H374)/(Trades!H374-Trades!I374)))</f>
        <v/>
      </c>
      <c r="V374" s="65" t="str">
        <f t="shared" si="43"/>
        <v/>
      </c>
      <c r="W374" s="66" t="str">
        <f t="shared" si="44"/>
        <v/>
      </c>
      <c r="X374" s="62" t="str">
        <f t="shared" si="45"/>
        <v/>
      </c>
      <c r="Y374" s="45"/>
      <c r="Z374" s="44"/>
      <c r="AA374" s="41"/>
      <c r="AB374" s="39"/>
      <c r="AC374" s="37" t="str">
        <f t="shared" si="46"/>
        <v/>
      </c>
    </row>
    <row r="375" spans="2:29" x14ac:dyDescent="0.25">
      <c r="B375" s="54">
        <v>369</v>
      </c>
      <c r="C375" s="168"/>
      <c r="D375" s="51"/>
      <c r="E375" s="29"/>
      <c r="F375" s="48"/>
      <c r="G375" s="29"/>
      <c r="H375" s="187"/>
      <c r="I375" s="187"/>
      <c r="J375" s="195"/>
      <c r="K375" s="86" t="str">
        <f t="shared" si="40"/>
        <v/>
      </c>
      <c r="L375" s="57" t="str">
        <f t="shared" si="47"/>
        <v/>
      </c>
      <c r="M375" s="186"/>
      <c r="N375" s="189"/>
      <c r="O375" s="190"/>
      <c r="P375" s="190" t="str">
        <f>IF(OR(ISBLANK(V375),COUNTBLANK(V375:$V$1048576)=ROWS(V375:$V$1048576)),"",$R$2*(1+SUM(V$7:V375)))</f>
        <v/>
      </c>
      <c r="Q375" s="191"/>
      <c r="R375" s="189"/>
      <c r="S375" s="53" t="str">
        <f t="shared" si="41"/>
        <v/>
      </c>
      <c r="T375" s="63" t="str">
        <f t="shared" si="42"/>
        <v/>
      </c>
      <c r="U375" s="64" t="str">
        <f>IF(OR(ISBLANK(Trades!R375), ISBLANK(Trades!H375), ISBLANK(Trades!I375)), "", IF(Trades!H375=Trades!I375, "N/A", (Trades!R375-Trades!H375)/(Trades!H375-Trades!I375)))</f>
        <v/>
      </c>
      <c r="V375" s="65" t="str">
        <f t="shared" si="43"/>
        <v/>
      </c>
      <c r="W375" s="66" t="str">
        <f t="shared" si="44"/>
        <v/>
      </c>
      <c r="X375" s="62" t="str">
        <f t="shared" si="45"/>
        <v/>
      </c>
      <c r="Y375" s="45"/>
      <c r="Z375" s="44"/>
      <c r="AA375" s="41"/>
      <c r="AB375" s="39"/>
      <c r="AC375" s="37" t="str">
        <f t="shared" si="46"/>
        <v/>
      </c>
    </row>
    <row r="376" spans="2:29" x14ac:dyDescent="0.25">
      <c r="B376" s="54">
        <v>370</v>
      </c>
      <c r="C376" s="168"/>
      <c r="D376" s="51"/>
      <c r="E376" s="29"/>
      <c r="F376" s="48"/>
      <c r="G376" s="29"/>
      <c r="H376" s="187"/>
      <c r="I376" s="187"/>
      <c r="J376" s="195"/>
      <c r="K376" s="86" t="str">
        <f t="shared" si="40"/>
        <v/>
      </c>
      <c r="L376" s="57" t="str">
        <f t="shared" si="47"/>
        <v/>
      </c>
      <c r="M376" s="186"/>
      <c r="N376" s="189"/>
      <c r="O376" s="190"/>
      <c r="P376" s="190" t="str">
        <f>IF(OR(ISBLANK(V376),COUNTBLANK(V376:$V$1048576)=ROWS(V376:$V$1048576)),"",$R$2*(1+SUM(V$7:V376)))</f>
        <v/>
      </c>
      <c r="Q376" s="191"/>
      <c r="R376" s="189"/>
      <c r="S376" s="53" t="str">
        <f t="shared" si="41"/>
        <v/>
      </c>
      <c r="T376" s="63" t="str">
        <f t="shared" si="42"/>
        <v/>
      </c>
      <c r="U376" s="64" t="str">
        <f>IF(OR(ISBLANK(Trades!R376), ISBLANK(Trades!H376), ISBLANK(Trades!I376)), "", IF(Trades!H376=Trades!I376, "N/A", (Trades!R376-Trades!H376)/(Trades!H376-Trades!I376)))</f>
        <v/>
      </c>
      <c r="V376" s="65" t="str">
        <f t="shared" si="43"/>
        <v/>
      </c>
      <c r="W376" s="66" t="str">
        <f t="shared" si="44"/>
        <v/>
      </c>
      <c r="X376" s="62" t="str">
        <f t="shared" si="45"/>
        <v/>
      </c>
      <c r="Y376" s="45"/>
      <c r="Z376" s="44"/>
      <c r="AA376" s="41"/>
      <c r="AB376" s="39"/>
      <c r="AC376" s="37" t="str">
        <f t="shared" si="46"/>
        <v/>
      </c>
    </row>
    <row r="377" spans="2:29" x14ac:dyDescent="0.25">
      <c r="B377" s="54">
        <v>371</v>
      </c>
      <c r="C377" s="168"/>
      <c r="D377" s="51"/>
      <c r="E377" s="29"/>
      <c r="F377" s="48"/>
      <c r="G377" s="29"/>
      <c r="H377" s="187"/>
      <c r="I377" s="187"/>
      <c r="J377" s="195"/>
      <c r="K377" s="86" t="str">
        <f t="shared" si="40"/>
        <v/>
      </c>
      <c r="L377" s="57" t="str">
        <f t="shared" si="47"/>
        <v/>
      </c>
      <c r="M377" s="186"/>
      <c r="N377" s="189"/>
      <c r="O377" s="190"/>
      <c r="P377" s="190" t="str">
        <f>IF(OR(ISBLANK(V377),COUNTBLANK(V377:$V$1048576)=ROWS(V377:$V$1048576)),"",$R$2*(1+SUM(V$7:V377)))</f>
        <v/>
      </c>
      <c r="Q377" s="191"/>
      <c r="R377" s="189"/>
      <c r="S377" s="53" t="str">
        <f t="shared" si="41"/>
        <v/>
      </c>
      <c r="T377" s="63" t="str">
        <f t="shared" si="42"/>
        <v/>
      </c>
      <c r="U377" s="64" t="str">
        <f>IF(OR(ISBLANK(Trades!R377), ISBLANK(Trades!H377), ISBLANK(Trades!I377)), "", IF(Trades!H377=Trades!I377, "N/A", (Trades!R377-Trades!H377)/(Trades!H377-Trades!I377)))</f>
        <v/>
      </c>
      <c r="V377" s="65" t="str">
        <f t="shared" si="43"/>
        <v/>
      </c>
      <c r="W377" s="66" t="str">
        <f t="shared" si="44"/>
        <v/>
      </c>
      <c r="X377" s="62" t="str">
        <f t="shared" si="45"/>
        <v/>
      </c>
      <c r="Y377" s="45"/>
      <c r="Z377" s="44"/>
      <c r="AA377" s="41"/>
      <c r="AB377" s="39"/>
      <c r="AC377" s="37" t="str">
        <f t="shared" si="46"/>
        <v/>
      </c>
    </row>
    <row r="378" spans="2:29" x14ac:dyDescent="0.25">
      <c r="B378" s="54">
        <v>372</v>
      </c>
      <c r="C378" s="168"/>
      <c r="D378" s="51"/>
      <c r="E378" s="29"/>
      <c r="F378" s="48"/>
      <c r="G378" s="29"/>
      <c r="H378" s="187"/>
      <c r="I378" s="187"/>
      <c r="J378" s="195"/>
      <c r="K378" s="86" t="str">
        <f t="shared" si="40"/>
        <v/>
      </c>
      <c r="L378" s="57" t="str">
        <f t="shared" si="47"/>
        <v/>
      </c>
      <c r="M378" s="186"/>
      <c r="N378" s="189"/>
      <c r="O378" s="190"/>
      <c r="P378" s="190" t="str">
        <f>IF(OR(ISBLANK(V378),COUNTBLANK(V378:$V$1048576)=ROWS(V378:$V$1048576)),"",$R$2*(1+SUM(V$7:V378)))</f>
        <v/>
      </c>
      <c r="Q378" s="191"/>
      <c r="R378" s="189"/>
      <c r="S378" s="53" t="str">
        <f t="shared" si="41"/>
        <v/>
      </c>
      <c r="T378" s="63" t="str">
        <f t="shared" si="42"/>
        <v/>
      </c>
      <c r="U378" s="64" t="str">
        <f>IF(OR(ISBLANK(Trades!R378), ISBLANK(Trades!H378), ISBLANK(Trades!I378)), "", IF(Trades!H378=Trades!I378, "N/A", (Trades!R378-Trades!H378)/(Trades!H378-Trades!I378)))</f>
        <v/>
      </c>
      <c r="V378" s="65" t="str">
        <f t="shared" si="43"/>
        <v/>
      </c>
      <c r="W378" s="66" t="str">
        <f t="shared" si="44"/>
        <v/>
      </c>
      <c r="X378" s="62" t="str">
        <f t="shared" si="45"/>
        <v/>
      </c>
      <c r="Y378" s="45"/>
      <c r="Z378" s="44"/>
      <c r="AA378" s="41"/>
      <c r="AB378" s="39"/>
      <c r="AC378" s="37" t="str">
        <f t="shared" si="46"/>
        <v/>
      </c>
    </row>
    <row r="379" spans="2:29" x14ac:dyDescent="0.25">
      <c r="B379" s="54">
        <v>373</v>
      </c>
      <c r="C379" s="168"/>
      <c r="D379" s="51"/>
      <c r="E379" s="29"/>
      <c r="F379" s="48"/>
      <c r="G379" s="29"/>
      <c r="H379" s="187"/>
      <c r="I379" s="187"/>
      <c r="J379" s="195"/>
      <c r="K379" s="86" t="str">
        <f t="shared" si="40"/>
        <v/>
      </c>
      <c r="L379" s="57" t="str">
        <f t="shared" si="47"/>
        <v/>
      </c>
      <c r="M379" s="186"/>
      <c r="N379" s="189"/>
      <c r="O379" s="190"/>
      <c r="P379" s="190" t="str">
        <f>IF(OR(ISBLANK(V379),COUNTBLANK(V379:$V$1048576)=ROWS(V379:$V$1048576)),"",$R$2*(1+SUM(V$7:V379)))</f>
        <v/>
      </c>
      <c r="Q379" s="191"/>
      <c r="R379" s="189"/>
      <c r="S379" s="53" t="str">
        <f t="shared" si="41"/>
        <v/>
      </c>
      <c r="T379" s="63" t="str">
        <f t="shared" si="42"/>
        <v/>
      </c>
      <c r="U379" s="64" t="str">
        <f>IF(OR(ISBLANK(Trades!R379), ISBLANK(Trades!H379), ISBLANK(Trades!I379)), "", IF(Trades!H379=Trades!I379, "N/A", (Trades!R379-Trades!H379)/(Trades!H379-Trades!I379)))</f>
        <v/>
      </c>
      <c r="V379" s="65" t="str">
        <f t="shared" si="43"/>
        <v/>
      </c>
      <c r="W379" s="66" t="str">
        <f t="shared" si="44"/>
        <v/>
      </c>
      <c r="X379" s="62" t="str">
        <f t="shared" si="45"/>
        <v/>
      </c>
      <c r="Y379" s="45"/>
      <c r="Z379" s="44"/>
      <c r="AA379" s="41"/>
      <c r="AB379" s="39"/>
      <c r="AC379" s="37" t="str">
        <f t="shared" si="46"/>
        <v/>
      </c>
    </row>
    <row r="380" spans="2:29" x14ac:dyDescent="0.25">
      <c r="B380" s="54">
        <v>374</v>
      </c>
      <c r="C380" s="168"/>
      <c r="D380" s="51"/>
      <c r="E380" s="29"/>
      <c r="F380" s="48"/>
      <c r="G380" s="29"/>
      <c r="H380" s="187"/>
      <c r="I380" s="187"/>
      <c r="J380" s="195"/>
      <c r="K380" s="86" t="str">
        <f t="shared" si="40"/>
        <v/>
      </c>
      <c r="L380" s="57" t="str">
        <f t="shared" si="47"/>
        <v/>
      </c>
      <c r="M380" s="186"/>
      <c r="N380" s="189"/>
      <c r="O380" s="190"/>
      <c r="P380" s="190" t="str">
        <f>IF(OR(ISBLANK(V380),COUNTBLANK(V380:$V$1048576)=ROWS(V380:$V$1048576)),"",$R$2*(1+SUM(V$7:V380)))</f>
        <v/>
      </c>
      <c r="Q380" s="191"/>
      <c r="R380" s="189"/>
      <c r="S380" s="53" t="str">
        <f t="shared" si="41"/>
        <v/>
      </c>
      <c r="T380" s="63" t="str">
        <f t="shared" si="42"/>
        <v/>
      </c>
      <c r="U380" s="64" t="str">
        <f>IF(OR(ISBLANK(Trades!R380), ISBLANK(Trades!H380), ISBLANK(Trades!I380)), "", IF(Trades!H380=Trades!I380, "N/A", (Trades!R380-Trades!H380)/(Trades!H380-Trades!I380)))</f>
        <v/>
      </c>
      <c r="V380" s="65" t="str">
        <f t="shared" si="43"/>
        <v/>
      </c>
      <c r="W380" s="66" t="str">
        <f t="shared" si="44"/>
        <v/>
      </c>
      <c r="X380" s="62" t="str">
        <f t="shared" si="45"/>
        <v/>
      </c>
      <c r="Y380" s="45"/>
      <c r="Z380" s="44"/>
      <c r="AA380" s="41"/>
      <c r="AB380" s="39"/>
      <c r="AC380" s="37" t="str">
        <f t="shared" si="46"/>
        <v/>
      </c>
    </row>
    <row r="381" spans="2:29" x14ac:dyDescent="0.25">
      <c r="B381" s="54">
        <v>375</v>
      </c>
      <c r="C381" s="168"/>
      <c r="D381" s="51"/>
      <c r="E381" s="29"/>
      <c r="F381" s="48"/>
      <c r="G381" s="29"/>
      <c r="H381" s="187"/>
      <c r="I381" s="187"/>
      <c r="J381" s="195"/>
      <c r="K381" s="86" t="str">
        <f t="shared" si="40"/>
        <v/>
      </c>
      <c r="L381" s="57" t="str">
        <f t="shared" si="47"/>
        <v/>
      </c>
      <c r="M381" s="186"/>
      <c r="N381" s="189"/>
      <c r="O381" s="190"/>
      <c r="P381" s="190" t="str">
        <f>IF(OR(ISBLANK(V381),COUNTBLANK(V381:$V$1048576)=ROWS(V381:$V$1048576)),"",$R$2*(1+SUM(V$7:V381)))</f>
        <v/>
      </c>
      <c r="Q381" s="191"/>
      <c r="R381" s="189"/>
      <c r="S381" s="53" t="str">
        <f t="shared" si="41"/>
        <v/>
      </c>
      <c r="T381" s="63" t="str">
        <f t="shared" si="42"/>
        <v/>
      </c>
      <c r="U381" s="64" t="str">
        <f>IF(OR(ISBLANK(Trades!R381), ISBLANK(Trades!H381), ISBLANK(Trades!I381)), "", IF(Trades!H381=Trades!I381, "N/A", (Trades!R381-Trades!H381)/(Trades!H381-Trades!I381)))</f>
        <v/>
      </c>
      <c r="V381" s="65" t="str">
        <f t="shared" si="43"/>
        <v/>
      </c>
      <c r="W381" s="66" t="str">
        <f t="shared" si="44"/>
        <v/>
      </c>
      <c r="X381" s="62" t="str">
        <f t="shared" si="45"/>
        <v/>
      </c>
      <c r="Y381" s="45"/>
      <c r="Z381" s="44"/>
      <c r="AA381" s="41"/>
      <c r="AB381" s="39"/>
      <c r="AC381" s="37" t="str">
        <f t="shared" si="46"/>
        <v/>
      </c>
    </row>
    <row r="382" spans="2:29" x14ac:dyDescent="0.25">
      <c r="B382" s="54">
        <v>376</v>
      </c>
      <c r="C382" s="168"/>
      <c r="D382" s="51"/>
      <c r="E382" s="29"/>
      <c r="F382" s="48"/>
      <c r="G382" s="29"/>
      <c r="H382" s="187"/>
      <c r="I382" s="187"/>
      <c r="J382" s="195"/>
      <c r="K382" s="86" t="str">
        <f t="shared" si="40"/>
        <v/>
      </c>
      <c r="L382" s="57" t="str">
        <f t="shared" si="47"/>
        <v/>
      </c>
      <c r="M382" s="186"/>
      <c r="N382" s="189"/>
      <c r="O382" s="190"/>
      <c r="P382" s="190" t="str">
        <f>IF(OR(ISBLANK(V382),COUNTBLANK(V382:$V$1048576)=ROWS(V382:$V$1048576)),"",$R$2*(1+SUM(V$7:V382)))</f>
        <v/>
      </c>
      <c r="Q382" s="191"/>
      <c r="R382" s="189"/>
      <c r="S382" s="53" t="str">
        <f t="shared" si="41"/>
        <v/>
      </c>
      <c r="T382" s="63" t="str">
        <f t="shared" si="42"/>
        <v/>
      </c>
      <c r="U382" s="64" t="str">
        <f>IF(OR(ISBLANK(Trades!R382), ISBLANK(Trades!H382), ISBLANK(Trades!I382)), "", IF(Trades!H382=Trades!I382, "N/A", (Trades!R382-Trades!H382)/(Trades!H382-Trades!I382)))</f>
        <v/>
      </c>
      <c r="V382" s="65" t="str">
        <f t="shared" si="43"/>
        <v/>
      </c>
      <c r="W382" s="66" t="str">
        <f t="shared" si="44"/>
        <v/>
      </c>
      <c r="X382" s="62" t="str">
        <f t="shared" si="45"/>
        <v/>
      </c>
      <c r="Y382" s="45"/>
      <c r="Z382" s="44"/>
      <c r="AA382" s="41"/>
      <c r="AB382" s="39"/>
      <c r="AC382" s="37" t="str">
        <f t="shared" si="46"/>
        <v/>
      </c>
    </row>
    <row r="383" spans="2:29" x14ac:dyDescent="0.25">
      <c r="B383" s="54">
        <v>377</v>
      </c>
      <c r="C383" s="168"/>
      <c r="D383" s="51"/>
      <c r="E383" s="29"/>
      <c r="F383" s="48"/>
      <c r="G383" s="29"/>
      <c r="H383" s="187"/>
      <c r="I383" s="187"/>
      <c r="J383" s="195"/>
      <c r="K383" s="86" t="str">
        <f t="shared" si="40"/>
        <v/>
      </c>
      <c r="L383" s="57" t="str">
        <f t="shared" si="47"/>
        <v/>
      </c>
      <c r="M383" s="186"/>
      <c r="N383" s="189"/>
      <c r="O383" s="190"/>
      <c r="P383" s="190" t="str">
        <f>IF(OR(ISBLANK(V383),COUNTBLANK(V383:$V$1048576)=ROWS(V383:$V$1048576)),"",$R$2*(1+SUM(V$7:V383)))</f>
        <v/>
      </c>
      <c r="Q383" s="191"/>
      <c r="R383" s="189"/>
      <c r="S383" s="53" t="str">
        <f t="shared" si="41"/>
        <v/>
      </c>
      <c r="T383" s="63" t="str">
        <f t="shared" si="42"/>
        <v/>
      </c>
      <c r="U383" s="64" t="str">
        <f>IF(OR(ISBLANK(Trades!R383), ISBLANK(Trades!H383), ISBLANK(Trades!I383)), "", IF(Trades!H383=Trades!I383, "N/A", (Trades!R383-Trades!H383)/(Trades!H383-Trades!I383)))</f>
        <v/>
      </c>
      <c r="V383" s="65" t="str">
        <f t="shared" si="43"/>
        <v/>
      </c>
      <c r="W383" s="66" t="str">
        <f t="shared" si="44"/>
        <v/>
      </c>
      <c r="X383" s="62" t="str">
        <f t="shared" si="45"/>
        <v/>
      </c>
      <c r="Y383" s="45"/>
      <c r="Z383" s="44"/>
      <c r="AA383" s="41"/>
      <c r="AB383" s="39"/>
      <c r="AC383" s="37" t="str">
        <f t="shared" si="46"/>
        <v/>
      </c>
    </row>
    <row r="384" spans="2:29" x14ac:dyDescent="0.25">
      <c r="B384" s="54">
        <v>378</v>
      </c>
      <c r="C384" s="168"/>
      <c r="D384" s="51"/>
      <c r="E384" s="29"/>
      <c r="F384" s="48"/>
      <c r="G384" s="29"/>
      <c r="H384" s="187"/>
      <c r="I384" s="187"/>
      <c r="J384" s="195"/>
      <c r="K384" s="86" t="str">
        <f t="shared" si="40"/>
        <v/>
      </c>
      <c r="L384" s="57" t="str">
        <f t="shared" si="47"/>
        <v/>
      </c>
      <c r="M384" s="186"/>
      <c r="N384" s="189"/>
      <c r="O384" s="190"/>
      <c r="P384" s="190" t="str">
        <f>IF(OR(ISBLANK(V384),COUNTBLANK(V384:$V$1048576)=ROWS(V384:$V$1048576)),"",$R$2*(1+SUM(V$7:V384)))</f>
        <v/>
      </c>
      <c r="Q384" s="191"/>
      <c r="R384" s="189"/>
      <c r="S384" s="53" t="str">
        <f t="shared" si="41"/>
        <v/>
      </c>
      <c r="T384" s="63" t="str">
        <f t="shared" si="42"/>
        <v/>
      </c>
      <c r="U384" s="64" t="str">
        <f>IF(OR(ISBLANK(Trades!R384), ISBLANK(Trades!H384), ISBLANK(Trades!I384)), "", IF(Trades!H384=Trades!I384, "N/A", (Trades!R384-Trades!H384)/(Trades!H384-Trades!I384)))</f>
        <v/>
      </c>
      <c r="V384" s="65" t="str">
        <f t="shared" si="43"/>
        <v/>
      </c>
      <c r="W384" s="66" t="str">
        <f t="shared" si="44"/>
        <v/>
      </c>
      <c r="X384" s="62" t="str">
        <f t="shared" si="45"/>
        <v/>
      </c>
      <c r="Y384" s="45"/>
      <c r="Z384" s="44"/>
      <c r="AA384" s="41"/>
      <c r="AB384" s="39"/>
      <c r="AC384" s="37" t="str">
        <f t="shared" si="46"/>
        <v/>
      </c>
    </row>
    <row r="385" spans="2:29" x14ac:dyDescent="0.25">
      <c r="B385" s="54">
        <v>379</v>
      </c>
      <c r="C385" s="168"/>
      <c r="D385" s="51"/>
      <c r="E385" s="29"/>
      <c r="F385" s="48"/>
      <c r="G385" s="29"/>
      <c r="H385" s="187"/>
      <c r="I385" s="187"/>
      <c r="J385" s="195"/>
      <c r="K385" s="86" t="str">
        <f t="shared" si="40"/>
        <v/>
      </c>
      <c r="L385" s="57" t="str">
        <f t="shared" si="47"/>
        <v/>
      </c>
      <c r="M385" s="186"/>
      <c r="N385" s="189"/>
      <c r="O385" s="190"/>
      <c r="P385" s="190" t="str">
        <f>IF(OR(ISBLANK(V385),COUNTBLANK(V385:$V$1048576)=ROWS(V385:$V$1048576)),"",$R$2*(1+SUM(V$7:V385)))</f>
        <v/>
      </c>
      <c r="Q385" s="191"/>
      <c r="R385" s="189"/>
      <c r="S385" s="53" t="str">
        <f t="shared" si="41"/>
        <v/>
      </c>
      <c r="T385" s="63" t="str">
        <f t="shared" si="42"/>
        <v/>
      </c>
      <c r="U385" s="64" t="str">
        <f>IF(OR(ISBLANK(Trades!R385), ISBLANK(Trades!H385), ISBLANK(Trades!I385)), "", IF(Trades!H385=Trades!I385, "N/A", (Trades!R385-Trades!H385)/(Trades!H385-Trades!I385)))</f>
        <v/>
      </c>
      <c r="V385" s="65" t="str">
        <f t="shared" si="43"/>
        <v/>
      </c>
      <c r="W385" s="66" t="str">
        <f t="shared" si="44"/>
        <v/>
      </c>
      <c r="X385" s="62" t="str">
        <f t="shared" si="45"/>
        <v/>
      </c>
      <c r="Y385" s="45"/>
      <c r="Z385" s="44"/>
      <c r="AA385" s="41"/>
      <c r="AB385" s="39"/>
      <c r="AC385" s="37" t="str">
        <f t="shared" si="46"/>
        <v/>
      </c>
    </row>
    <row r="386" spans="2:29" x14ac:dyDescent="0.25">
      <c r="B386" s="54">
        <v>380</v>
      </c>
      <c r="C386" s="168"/>
      <c r="D386" s="51"/>
      <c r="E386" s="29"/>
      <c r="F386" s="48"/>
      <c r="G386" s="29"/>
      <c r="H386" s="187"/>
      <c r="I386" s="187"/>
      <c r="J386" s="195"/>
      <c r="K386" s="86" t="str">
        <f t="shared" si="40"/>
        <v/>
      </c>
      <c r="L386" s="57" t="str">
        <f t="shared" si="47"/>
        <v/>
      </c>
      <c r="M386" s="186"/>
      <c r="N386" s="189"/>
      <c r="O386" s="190"/>
      <c r="P386" s="190" t="str">
        <f>IF(OR(ISBLANK(V386),COUNTBLANK(V386:$V$1048576)=ROWS(V386:$V$1048576)),"",$R$2*(1+SUM(V$7:V386)))</f>
        <v/>
      </c>
      <c r="Q386" s="191"/>
      <c r="R386" s="189"/>
      <c r="S386" s="53" t="str">
        <f t="shared" si="41"/>
        <v/>
      </c>
      <c r="T386" s="63" t="str">
        <f t="shared" si="42"/>
        <v/>
      </c>
      <c r="U386" s="64" t="str">
        <f>IF(OR(ISBLANK(Trades!R386), ISBLANK(Trades!H386), ISBLANK(Trades!I386)), "", IF(Trades!H386=Trades!I386, "N/A", (Trades!R386-Trades!H386)/(Trades!H386-Trades!I386)))</f>
        <v/>
      </c>
      <c r="V386" s="65" t="str">
        <f t="shared" si="43"/>
        <v/>
      </c>
      <c r="W386" s="66" t="str">
        <f t="shared" si="44"/>
        <v/>
      </c>
      <c r="X386" s="62" t="str">
        <f t="shared" si="45"/>
        <v/>
      </c>
      <c r="Y386" s="45"/>
      <c r="Z386" s="44"/>
      <c r="AA386" s="41"/>
      <c r="AB386" s="39"/>
      <c r="AC386" s="37" t="str">
        <f t="shared" si="46"/>
        <v/>
      </c>
    </row>
    <row r="387" spans="2:29" x14ac:dyDescent="0.25">
      <c r="B387" s="54">
        <v>381</v>
      </c>
      <c r="C387" s="168"/>
      <c r="D387" s="51"/>
      <c r="E387" s="29"/>
      <c r="F387" s="48"/>
      <c r="G387" s="29"/>
      <c r="H387" s="187"/>
      <c r="I387" s="187"/>
      <c r="J387" s="195"/>
      <c r="K387" s="86" t="str">
        <f t="shared" si="40"/>
        <v/>
      </c>
      <c r="L387" s="57" t="str">
        <f t="shared" si="47"/>
        <v/>
      </c>
      <c r="M387" s="186"/>
      <c r="N387" s="189"/>
      <c r="O387" s="190"/>
      <c r="P387" s="190" t="str">
        <f>IF(OR(ISBLANK(V387),COUNTBLANK(V387:$V$1048576)=ROWS(V387:$V$1048576)),"",$R$2*(1+SUM(V$7:V387)))</f>
        <v/>
      </c>
      <c r="Q387" s="191"/>
      <c r="R387" s="189"/>
      <c r="S387" s="53" t="str">
        <f t="shared" si="41"/>
        <v/>
      </c>
      <c r="T387" s="63" t="str">
        <f t="shared" si="42"/>
        <v/>
      </c>
      <c r="U387" s="64" t="str">
        <f>IF(OR(ISBLANK(Trades!R387), ISBLANK(Trades!H387), ISBLANK(Trades!I387)), "", IF(Trades!H387=Trades!I387, "N/A", (Trades!R387-Trades!H387)/(Trades!H387-Trades!I387)))</f>
        <v/>
      </c>
      <c r="V387" s="65" t="str">
        <f t="shared" si="43"/>
        <v/>
      </c>
      <c r="W387" s="66" t="str">
        <f t="shared" si="44"/>
        <v/>
      </c>
      <c r="X387" s="62" t="str">
        <f t="shared" si="45"/>
        <v/>
      </c>
      <c r="Y387" s="45"/>
      <c r="Z387" s="44"/>
      <c r="AA387" s="41"/>
      <c r="AB387" s="39"/>
      <c r="AC387" s="37" t="str">
        <f t="shared" si="46"/>
        <v/>
      </c>
    </row>
    <row r="388" spans="2:29" x14ac:dyDescent="0.25">
      <c r="B388" s="54">
        <v>382</v>
      </c>
      <c r="C388" s="168"/>
      <c r="D388" s="51"/>
      <c r="E388" s="29"/>
      <c r="F388" s="48"/>
      <c r="G388" s="29"/>
      <c r="H388" s="187"/>
      <c r="I388" s="187"/>
      <c r="J388" s="195"/>
      <c r="K388" s="86" t="str">
        <f t="shared" si="40"/>
        <v/>
      </c>
      <c r="L388" s="57" t="str">
        <f t="shared" si="47"/>
        <v/>
      </c>
      <c r="M388" s="186"/>
      <c r="N388" s="189"/>
      <c r="O388" s="190"/>
      <c r="P388" s="190" t="str">
        <f>IF(OR(ISBLANK(V388),COUNTBLANK(V388:$V$1048576)=ROWS(V388:$V$1048576)),"",$R$2*(1+SUM(V$7:V388)))</f>
        <v/>
      </c>
      <c r="Q388" s="191"/>
      <c r="R388" s="189"/>
      <c r="S388" s="53" t="str">
        <f t="shared" si="41"/>
        <v/>
      </c>
      <c r="T388" s="63" t="str">
        <f t="shared" si="42"/>
        <v/>
      </c>
      <c r="U388" s="64" t="str">
        <f>IF(OR(ISBLANK(Trades!R388), ISBLANK(Trades!H388), ISBLANK(Trades!I388)), "", IF(Trades!H388=Trades!I388, "N/A", (Trades!R388-Trades!H388)/(Trades!H388-Trades!I388)))</f>
        <v/>
      </c>
      <c r="V388" s="65" t="str">
        <f t="shared" si="43"/>
        <v/>
      </c>
      <c r="W388" s="66" t="str">
        <f t="shared" si="44"/>
        <v/>
      </c>
      <c r="X388" s="62" t="str">
        <f t="shared" si="45"/>
        <v/>
      </c>
      <c r="Y388" s="45"/>
      <c r="Z388" s="44"/>
      <c r="AA388" s="41"/>
      <c r="AB388" s="39"/>
      <c r="AC388" s="37" t="str">
        <f t="shared" si="46"/>
        <v/>
      </c>
    </row>
    <row r="389" spans="2:29" x14ac:dyDescent="0.25">
      <c r="B389" s="54">
        <v>383</v>
      </c>
      <c r="C389" s="168"/>
      <c r="D389" s="51"/>
      <c r="E389" s="29"/>
      <c r="F389" s="48"/>
      <c r="G389" s="29"/>
      <c r="H389" s="187"/>
      <c r="I389" s="187"/>
      <c r="J389" s="195"/>
      <c r="K389" s="86" t="str">
        <f t="shared" si="40"/>
        <v/>
      </c>
      <c r="L389" s="57" t="str">
        <f t="shared" si="47"/>
        <v/>
      </c>
      <c r="M389" s="186"/>
      <c r="N389" s="189"/>
      <c r="O389" s="190"/>
      <c r="P389" s="190" t="str">
        <f>IF(OR(ISBLANK(V389),COUNTBLANK(V389:$V$1048576)=ROWS(V389:$V$1048576)),"",$R$2*(1+SUM(V$7:V389)))</f>
        <v/>
      </c>
      <c r="Q389" s="191"/>
      <c r="R389" s="189"/>
      <c r="S389" s="53" t="str">
        <f t="shared" si="41"/>
        <v/>
      </c>
      <c r="T389" s="63" t="str">
        <f t="shared" si="42"/>
        <v/>
      </c>
      <c r="U389" s="64" t="str">
        <f>IF(OR(ISBLANK(Trades!R389), ISBLANK(Trades!H389), ISBLANK(Trades!I389)), "", IF(Trades!H389=Trades!I389, "N/A", (Trades!R389-Trades!H389)/(Trades!H389-Trades!I389)))</f>
        <v/>
      </c>
      <c r="V389" s="65" t="str">
        <f t="shared" si="43"/>
        <v/>
      </c>
      <c r="W389" s="66" t="str">
        <f t="shared" si="44"/>
        <v/>
      </c>
      <c r="X389" s="62" t="str">
        <f t="shared" si="45"/>
        <v/>
      </c>
      <c r="Y389" s="45"/>
      <c r="Z389" s="44"/>
      <c r="AA389" s="41"/>
      <c r="AB389" s="39"/>
      <c r="AC389" s="37" t="str">
        <f t="shared" si="46"/>
        <v/>
      </c>
    </row>
    <row r="390" spans="2:29" x14ac:dyDescent="0.25">
      <c r="B390" s="54">
        <v>384</v>
      </c>
      <c r="C390" s="168"/>
      <c r="D390" s="51"/>
      <c r="E390" s="29"/>
      <c r="F390" s="48"/>
      <c r="G390" s="29"/>
      <c r="H390" s="187"/>
      <c r="I390" s="187"/>
      <c r="J390" s="195"/>
      <c r="K390" s="86" t="str">
        <f t="shared" si="40"/>
        <v/>
      </c>
      <c r="L390" s="57" t="str">
        <f t="shared" si="47"/>
        <v/>
      </c>
      <c r="M390" s="186"/>
      <c r="N390" s="189"/>
      <c r="O390" s="190"/>
      <c r="P390" s="190" t="str">
        <f>IF(OR(ISBLANK(V390),COUNTBLANK(V390:$V$1048576)=ROWS(V390:$V$1048576)),"",$R$2*(1+SUM(V$7:V390)))</f>
        <v/>
      </c>
      <c r="Q390" s="191"/>
      <c r="R390" s="189"/>
      <c r="S390" s="53" t="str">
        <f t="shared" si="41"/>
        <v/>
      </c>
      <c r="T390" s="63" t="str">
        <f t="shared" si="42"/>
        <v/>
      </c>
      <c r="U390" s="64" t="str">
        <f>IF(OR(ISBLANK(Trades!R390), ISBLANK(Trades!H390), ISBLANK(Trades!I390)), "", IF(Trades!H390=Trades!I390, "N/A", (Trades!R390-Trades!H390)/(Trades!H390-Trades!I390)))</f>
        <v/>
      </c>
      <c r="V390" s="65" t="str">
        <f t="shared" si="43"/>
        <v/>
      </c>
      <c r="W390" s="66" t="str">
        <f t="shared" si="44"/>
        <v/>
      </c>
      <c r="X390" s="62" t="str">
        <f t="shared" si="45"/>
        <v/>
      </c>
      <c r="Y390" s="45"/>
      <c r="Z390" s="44"/>
      <c r="AA390" s="41"/>
      <c r="AB390" s="39"/>
      <c r="AC390" s="37" t="str">
        <f t="shared" si="46"/>
        <v/>
      </c>
    </row>
    <row r="391" spans="2:29" x14ac:dyDescent="0.25">
      <c r="B391" s="54">
        <v>385</v>
      </c>
      <c r="C391" s="168"/>
      <c r="D391" s="51"/>
      <c r="E391" s="29"/>
      <c r="F391" s="48"/>
      <c r="G391" s="29"/>
      <c r="H391" s="187"/>
      <c r="I391" s="187"/>
      <c r="J391" s="195"/>
      <c r="K391" s="86" t="str">
        <f t="shared" ref="K391:K454" si="48">IF(OR(ISBLANK(H391),ISBLANK(I391)),"",IF(H391 &lt; I391, "SHORT", IF(H391 &gt; I391, "LONG", "")))</f>
        <v/>
      </c>
      <c r="L391" s="57" t="str">
        <f t="shared" si="47"/>
        <v/>
      </c>
      <c r="M391" s="186"/>
      <c r="N391" s="189"/>
      <c r="O391" s="190"/>
      <c r="P391" s="190" t="str">
        <f>IF(OR(ISBLANK(V391),COUNTBLANK(V391:$V$1048576)=ROWS(V391:$V$1048576)),"",$R$2*(1+SUM(V$7:V391)))</f>
        <v/>
      </c>
      <c r="Q391" s="191"/>
      <c r="R391" s="189"/>
      <c r="S391" s="53" t="str">
        <f t="shared" ref="S391:S454" si="49">IF(COUNTIFS($C$7:$C$1000, "&lt;="&amp;C391, $X$7:$X$1000, "Win") = 0, "", IF(COUNTIFS($C$7:$C$1000, "&lt;="&amp;C391, $X$7:$X$1000, "&lt;&gt;"&amp;"") = 0, "", COUNTIFS($C$7:$C$1000, "&lt;="&amp;C391, $X$7:$X$1000, "Win")/COUNTIFS($C$7:$C$1000, "&lt;="&amp;C391, $X$7:$X$1000, "&lt;&gt;"&amp;"")))</f>
        <v/>
      </c>
      <c r="T391" s="63" t="str">
        <f t="shared" ref="T391:T454" si="50">IF(ISBLANK(R391),IF(ISBLANK(H391),"","Open"),"Closed")</f>
        <v/>
      </c>
      <c r="U391" s="64" t="str">
        <f>IF(OR(ISBLANK(Trades!R391), ISBLANK(Trades!H391), ISBLANK(Trades!I391)), "", IF(Trades!H391=Trades!I391, "N/A", (Trades!R391-Trades!H391)/(Trades!H391-Trades!I391)))</f>
        <v/>
      </c>
      <c r="V391" s="65" t="str">
        <f t="shared" ref="V391:V454" si="51">IF(U391="","",U391*F391)</f>
        <v/>
      </c>
      <c r="W391" s="66" t="str">
        <f t="shared" ref="W391:W454" si="52">IF(ISBLANK(R391),"",IF(H391&gt;I391,IF(I391&gt;=R391,"SL Hit",IF(O391&lt;&gt;"","PT3 Hit",IF(N391&lt;&gt;"","PT2 Hit",IF(M391&lt;&gt;"","PT1 Hit","")))),IF(I391&lt;=R391,"SL Hit",IF(O391&lt;&gt;"","PT3 Hit",IF(N391&lt;&gt;"","PT2 Hit",IF(M391&lt;&gt;"","PT1 Hit",""))))))</f>
        <v/>
      </c>
      <c r="X391" s="62" t="str">
        <f t="shared" ref="X391:X454" si="53">IF(ISBLANK(R391),"",IF(H391&gt;I391, IF(R391&gt;=H391, "Win", "Loss"), IF(R391&lt;=H391, "Win", "Loss")))</f>
        <v/>
      </c>
      <c r="Y391" s="45"/>
      <c r="Z391" s="44"/>
      <c r="AA391" s="41"/>
      <c r="AB391" s="39"/>
      <c r="AC391" s="37" t="str">
        <f t="shared" ref="AC391:AC454" si="54">IFERROR(COUNTIFS($C$7:$C$1000,"&gt;="&amp;DATE(YEAR(C391),MONTH(C391),1),$C$7:$C$1000,"&lt;="&amp;EOMONTH(C391,0),$X$7:$X$1000,"Win")/COUNTIFS($C$7:$C$1000,"&gt;="&amp;DATE(YEAR(C391),MONTH(C391),1),$C$7:$C$1000,"&lt;="&amp;EOMONTH(C391,0)),"")</f>
        <v/>
      </c>
    </row>
    <row r="392" spans="2:29" x14ac:dyDescent="0.25">
      <c r="B392" s="54">
        <v>386</v>
      </c>
      <c r="C392" s="168"/>
      <c r="D392" s="51"/>
      <c r="E392" s="29"/>
      <c r="F392" s="48"/>
      <c r="G392" s="29"/>
      <c r="H392" s="187"/>
      <c r="I392" s="187"/>
      <c r="J392" s="195"/>
      <c r="K392" s="86" t="str">
        <f t="shared" si="48"/>
        <v/>
      </c>
      <c r="L392" s="57" t="str">
        <f t="shared" si="47"/>
        <v/>
      </c>
      <c r="M392" s="186"/>
      <c r="N392" s="189"/>
      <c r="O392" s="190"/>
      <c r="P392" s="190" t="str">
        <f>IF(OR(ISBLANK(V392),COUNTBLANK(V392:$V$1048576)=ROWS(V392:$V$1048576)),"",$R$2*(1+SUM(V$7:V392)))</f>
        <v/>
      </c>
      <c r="Q392" s="191"/>
      <c r="R392" s="189"/>
      <c r="S392" s="53" t="str">
        <f t="shared" si="49"/>
        <v/>
      </c>
      <c r="T392" s="63" t="str">
        <f t="shared" si="50"/>
        <v/>
      </c>
      <c r="U392" s="64" t="str">
        <f>IF(OR(ISBLANK(Trades!R392), ISBLANK(Trades!H392), ISBLANK(Trades!I392)), "", IF(Trades!H392=Trades!I392, "N/A", (Trades!R392-Trades!H392)/(Trades!H392-Trades!I392)))</f>
        <v/>
      </c>
      <c r="V392" s="65" t="str">
        <f t="shared" si="51"/>
        <v/>
      </c>
      <c r="W392" s="66" t="str">
        <f t="shared" si="52"/>
        <v/>
      </c>
      <c r="X392" s="62" t="str">
        <f t="shared" si="53"/>
        <v/>
      </c>
      <c r="Y392" s="45"/>
      <c r="Z392" s="44"/>
      <c r="AA392" s="41"/>
      <c r="AB392" s="39"/>
      <c r="AC392" s="37" t="str">
        <f t="shared" si="54"/>
        <v/>
      </c>
    </row>
    <row r="393" spans="2:29" x14ac:dyDescent="0.25">
      <c r="B393" s="54">
        <v>387</v>
      </c>
      <c r="C393" s="168"/>
      <c r="D393" s="51"/>
      <c r="E393" s="29"/>
      <c r="F393" s="48"/>
      <c r="G393" s="29"/>
      <c r="H393" s="187"/>
      <c r="I393" s="187"/>
      <c r="J393" s="195"/>
      <c r="K393" s="86" t="str">
        <f t="shared" si="48"/>
        <v/>
      </c>
      <c r="L393" s="57" t="str">
        <f t="shared" si="47"/>
        <v/>
      </c>
      <c r="M393" s="186"/>
      <c r="N393" s="189"/>
      <c r="O393" s="190"/>
      <c r="P393" s="190" t="str">
        <f>IF(OR(ISBLANK(V393),COUNTBLANK(V393:$V$1048576)=ROWS(V393:$V$1048576)),"",$R$2*(1+SUM(V$7:V393)))</f>
        <v/>
      </c>
      <c r="Q393" s="191"/>
      <c r="R393" s="189"/>
      <c r="S393" s="53" t="str">
        <f t="shared" si="49"/>
        <v/>
      </c>
      <c r="T393" s="63" t="str">
        <f t="shared" si="50"/>
        <v/>
      </c>
      <c r="U393" s="64" t="str">
        <f>IF(OR(ISBLANK(Trades!R393), ISBLANK(Trades!H393), ISBLANK(Trades!I393)), "", IF(Trades!H393=Trades!I393, "N/A", (Trades!R393-Trades!H393)/(Trades!H393-Trades!I393)))</f>
        <v/>
      </c>
      <c r="V393" s="65" t="str">
        <f t="shared" si="51"/>
        <v/>
      </c>
      <c r="W393" s="66" t="str">
        <f t="shared" si="52"/>
        <v/>
      </c>
      <c r="X393" s="62" t="str">
        <f t="shared" si="53"/>
        <v/>
      </c>
      <c r="Y393" s="45"/>
      <c r="Z393" s="44"/>
      <c r="AA393" s="41"/>
      <c r="AB393" s="39"/>
      <c r="AC393" s="37" t="str">
        <f t="shared" si="54"/>
        <v/>
      </c>
    </row>
    <row r="394" spans="2:29" x14ac:dyDescent="0.25">
      <c r="B394" s="54">
        <v>388</v>
      </c>
      <c r="C394" s="168"/>
      <c r="D394" s="51"/>
      <c r="E394" s="29"/>
      <c r="F394" s="48"/>
      <c r="G394" s="29"/>
      <c r="H394" s="187"/>
      <c r="I394" s="187"/>
      <c r="J394" s="195"/>
      <c r="K394" s="86" t="str">
        <f t="shared" si="48"/>
        <v/>
      </c>
      <c r="L394" s="57" t="str">
        <f t="shared" si="47"/>
        <v/>
      </c>
      <c r="M394" s="186"/>
      <c r="N394" s="189"/>
      <c r="O394" s="190"/>
      <c r="P394" s="190" t="str">
        <f>IF(OR(ISBLANK(V394),COUNTBLANK(V394:$V$1048576)=ROWS(V394:$V$1048576)),"",$R$2*(1+SUM(V$7:V394)))</f>
        <v/>
      </c>
      <c r="Q394" s="191"/>
      <c r="R394" s="189"/>
      <c r="S394" s="53" t="str">
        <f t="shared" si="49"/>
        <v/>
      </c>
      <c r="T394" s="63" t="str">
        <f t="shared" si="50"/>
        <v/>
      </c>
      <c r="U394" s="64" t="str">
        <f>IF(OR(ISBLANK(Trades!R394), ISBLANK(Trades!H394), ISBLANK(Trades!I394)), "", IF(Trades!H394=Trades!I394, "N/A", (Trades!R394-Trades!H394)/(Trades!H394-Trades!I394)))</f>
        <v/>
      </c>
      <c r="V394" s="65" t="str">
        <f t="shared" si="51"/>
        <v/>
      </c>
      <c r="W394" s="66" t="str">
        <f t="shared" si="52"/>
        <v/>
      </c>
      <c r="X394" s="62" t="str">
        <f t="shared" si="53"/>
        <v/>
      </c>
      <c r="Y394" s="45"/>
      <c r="Z394" s="44"/>
      <c r="AA394" s="41"/>
      <c r="AB394" s="39"/>
      <c r="AC394" s="37" t="str">
        <f t="shared" si="54"/>
        <v/>
      </c>
    </row>
    <row r="395" spans="2:29" x14ac:dyDescent="0.25">
      <c r="B395" s="54">
        <v>389</v>
      </c>
      <c r="C395" s="168"/>
      <c r="D395" s="51"/>
      <c r="E395" s="29"/>
      <c r="F395" s="48"/>
      <c r="G395" s="29"/>
      <c r="H395" s="187"/>
      <c r="I395" s="187"/>
      <c r="J395" s="195"/>
      <c r="K395" s="86" t="str">
        <f t="shared" si="48"/>
        <v/>
      </c>
      <c r="L395" s="57" t="str">
        <f t="shared" si="47"/>
        <v/>
      </c>
      <c r="M395" s="186"/>
      <c r="N395" s="189"/>
      <c r="O395" s="190"/>
      <c r="P395" s="190" t="str">
        <f>IF(OR(ISBLANK(V395),COUNTBLANK(V395:$V$1048576)=ROWS(V395:$V$1048576)),"",$R$2*(1+SUM(V$7:V395)))</f>
        <v/>
      </c>
      <c r="Q395" s="191"/>
      <c r="R395" s="189"/>
      <c r="S395" s="53" t="str">
        <f t="shared" si="49"/>
        <v/>
      </c>
      <c r="T395" s="63" t="str">
        <f t="shared" si="50"/>
        <v/>
      </c>
      <c r="U395" s="64" t="str">
        <f>IF(OR(ISBLANK(Trades!R395), ISBLANK(Trades!H395), ISBLANK(Trades!I395)), "", IF(Trades!H395=Trades!I395, "N/A", (Trades!R395-Trades!H395)/(Trades!H395-Trades!I395)))</f>
        <v/>
      </c>
      <c r="V395" s="65" t="str">
        <f t="shared" si="51"/>
        <v/>
      </c>
      <c r="W395" s="66" t="str">
        <f t="shared" si="52"/>
        <v/>
      </c>
      <c r="X395" s="62" t="str">
        <f t="shared" si="53"/>
        <v/>
      </c>
      <c r="Y395" s="45"/>
      <c r="Z395" s="44"/>
      <c r="AA395" s="41"/>
      <c r="AB395" s="39"/>
      <c r="AC395" s="37" t="str">
        <f t="shared" si="54"/>
        <v/>
      </c>
    </row>
    <row r="396" spans="2:29" x14ac:dyDescent="0.25">
      <c r="B396" s="54">
        <v>390</v>
      </c>
      <c r="C396" s="168"/>
      <c r="D396" s="51"/>
      <c r="E396" s="29"/>
      <c r="F396" s="48"/>
      <c r="G396" s="29"/>
      <c r="H396" s="187"/>
      <c r="I396" s="187"/>
      <c r="J396" s="195"/>
      <c r="K396" s="86" t="str">
        <f t="shared" si="48"/>
        <v/>
      </c>
      <c r="L396" s="57" t="str">
        <f t="shared" ref="L396:L459" si="55">IF(OR(ISBLANK(J396),ISBLANK(H396),ISBLANK(I396)),"",ABS(J396-H396)/ABS(H396-I396))</f>
        <v/>
      </c>
      <c r="M396" s="186"/>
      <c r="N396" s="189"/>
      <c r="O396" s="190"/>
      <c r="P396" s="190" t="str">
        <f>IF(OR(ISBLANK(V396),COUNTBLANK(V396:$V$1048576)=ROWS(V396:$V$1048576)),"",$R$2*(1+SUM(V$7:V396)))</f>
        <v/>
      </c>
      <c r="Q396" s="191"/>
      <c r="R396" s="189"/>
      <c r="S396" s="53" t="str">
        <f t="shared" si="49"/>
        <v/>
      </c>
      <c r="T396" s="63" t="str">
        <f t="shared" si="50"/>
        <v/>
      </c>
      <c r="U396" s="64" t="str">
        <f>IF(OR(ISBLANK(Trades!R396), ISBLANK(Trades!H396), ISBLANK(Trades!I396)), "", IF(Trades!H396=Trades!I396, "N/A", (Trades!R396-Trades!H396)/(Trades!H396-Trades!I396)))</f>
        <v/>
      </c>
      <c r="V396" s="65" t="str">
        <f t="shared" si="51"/>
        <v/>
      </c>
      <c r="W396" s="66" t="str">
        <f t="shared" si="52"/>
        <v/>
      </c>
      <c r="X396" s="62" t="str">
        <f t="shared" si="53"/>
        <v/>
      </c>
      <c r="Y396" s="45"/>
      <c r="Z396" s="44"/>
      <c r="AA396" s="41"/>
      <c r="AB396" s="39"/>
      <c r="AC396" s="37" t="str">
        <f t="shared" si="54"/>
        <v/>
      </c>
    </row>
    <row r="397" spans="2:29" x14ac:dyDescent="0.25">
      <c r="B397" s="54">
        <v>391</v>
      </c>
      <c r="C397" s="168"/>
      <c r="D397" s="51"/>
      <c r="E397" s="29"/>
      <c r="F397" s="48"/>
      <c r="G397" s="29"/>
      <c r="H397" s="187"/>
      <c r="I397" s="187"/>
      <c r="J397" s="195"/>
      <c r="K397" s="86" t="str">
        <f t="shared" si="48"/>
        <v/>
      </c>
      <c r="L397" s="57" t="str">
        <f t="shared" si="55"/>
        <v/>
      </c>
      <c r="M397" s="186"/>
      <c r="N397" s="189"/>
      <c r="O397" s="190"/>
      <c r="P397" s="190" t="str">
        <f>IF(OR(ISBLANK(V397),COUNTBLANK(V397:$V$1048576)=ROWS(V397:$V$1048576)),"",$R$2*(1+SUM(V$7:V397)))</f>
        <v/>
      </c>
      <c r="Q397" s="191"/>
      <c r="R397" s="189"/>
      <c r="S397" s="53" t="str">
        <f t="shared" si="49"/>
        <v/>
      </c>
      <c r="T397" s="63" t="str">
        <f t="shared" si="50"/>
        <v/>
      </c>
      <c r="U397" s="64" t="str">
        <f>IF(OR(ISBLANK(Trades!R397), ISBLANK(Trades!H397), ISBLANK(Trades!I397)), "", IF(Trades!H397=Trades!I397, "N/A", (Trades!R397-Trades!H397)/(Trades!H397-Trades!I397)))</f>
        <v/>
      </c>
      <c r="V397" s="65" t="str">
        <f t="shared" si="51"/>
        <v/>
      </c>
      <c r="W397" s="66" t="str">
        <f t="shared" si="52"/>
        <v/>
      </c>
      <c r="X397" s="62" t="str">
        <f t="shared" si="53"/>
        <v/>
      </c>
      <c r="Y397" s="45"/>
      <c r="Z397" s="44"/>
      <c r="AA397" s="41"/>
      <c r="AB397" s="39"/>
      <c r="AC397" s="37" t="str">
        <f t="shared" si="54"/>
        <v/>
      </c>
    </row>
    <row r="398" spans="2:29" x14ac:dyDescent="0.25">
      <c r="B398" s="54">
        <v>392</v>
      </c>
      <c r="C398" s="168"/>
      <c r="D398" s="51"/>
      <c r="E398" s="29"/>
      <c r="F398" s="48"/>
      <c r="G398" s="29"/>
      <c r="H398" s="187"/>
      <c r="I398" s="187"/>
      <c r="J398" s="195"/>
      <c r="K398" s="86" t="str">
        <f t="shared" si="48"/>
        <v/>
      </c>
      <c r="L398" s="57" t="str">
        <f t="shared" si="55"/>
        <v/>
      </c>
      <c r="M398" s="186"/>
      <c r="N398" s="189"/>
      <c r="O398" s="190"/>
      <c r="P398" s="190" t="str">
        <f>IF(OR(ISBLANK(V398),COUNTBLANK(V398:$V$1048576)=ROWS(V398:$V$1048576)),"",$R$2*(1+SUM(V$7:V398)))</f>
        <v/>
      </c>
      <c r="Q398" s="191"/>
      <c r="R398" s="189"/>
      <c r="S398" s="53" t="str">
        <f t="shared" si="49"/>
        <v/>
      </c>
      <c r="T398" s="63" t="str">
        <f t="shared" si="50"/>
        <v/>
      </c>
      <c r="U398" s="64" t="str">
        <f>IF(OR(ISBLANK(Trades!R398), ISBLANK(Trades!H398), ISBLANK(Trades!I398)), "", IF(Trades!H398=Trades!I398, "N/A", (Trades!R398-Trades!H398)/(Trades!H398-Trades!I398)))</f>
        <v/>
      </c>
      <c r="V398" s="65" t="str">
        <f t="shared" si="51"/>
        <v/>
      </c>
      <c r="W398" s="66" t="str">
        <f t="shared" si="52"/>
        <v/>
      </c>
      <c r="X398" s="62" t="str">
        <f t="shared" si="53"/>
        <v/>
      </c>
      <c r="Y398" s="45"/>
      <c r="Z398" s="44"/>
      <c r="AA398" s="41"/>
      <c r="AB398" s="39"/>
      <c r="AC398" s="37" t="str">
        <f t="shared" si="54"/>
        <v/>
      </c>
    </row>
    <row r="399" spans="2:29" x14ac:dyDescent="0.25">
      <c r="B399" s="54">
        <v>393</v>
      </c>
      <c r="C399" s="168"/>
      <c r="D399" s="51"/>
      <c r="E399" s="29"/>
      <c r="F399" s="48"/>
      <c r="G399" s="29"/>
      <c r="H399" s="187"/>
      <c r="I399" s="187"/>
      <c r="J399" s="195"/>
      <c r="K399" s="86" t="str">
        <f t="shared" si="48"/>
        <v/>
      </c>
      <c r="L399" s="57" t="str">
        <f t="shared" si="55"/>
        <v/>
      </c>
      <c r="M399" s="186"/>
      <c r="N399" s="189"/>
      <c r="O399" s="190"/>
      <c r="P399" s="190" t="str">
        <f>IF(OR(ISBLANK(V399),COUNTBLANK(V399:$V$1048576)=ROWS(V399:$V$1048576)),"",$R$2*(1+SUM(V$7:V399)))</f>
        <v/>
      </c>
      <c r="Q399" s="191"/>
      <c r="R399" s="189"/>
      <c r="S399" s="53" t="str">
        <f t="shared" si="49"/>
        <v/>
      </c>
      <c r="T399" s="63" t="str">
        <f t="shared" si="50"/>
        <v/>
      </c>
      <c r="U399" s="64" t="str">
        <f>IF(OR(ISBLANK(Trades!R399), ISBLANK(Trades!H399), ISBLANK(Trades!I399)), "", IF(Trades!H399=Trades!I399, "N/A", (Trades!R399-Trades!H399)/(Trades!H399-Trades!I399)))</f>
        <v/>
      </c>
      <c r="V399" s="65" t="str">
        <f t="shared" si="51"/>
        <v/>
      </c>
      <c r="W399" s="66" t="str">
        <f t="shared" si="52"/>
        <v/>
      </c>
      <c r="X399" s="62" t="str">
        <f t="shared" si="53"/>
        <v/>
      </c>
      <c r="Y399" s="45"/>
      <c r="Z399" s="44"/>
      <c r="AA399" s="41"/>
      <c r="AB399" s="39"/>
      <c r="AC399" s="37" t="str">
        <f t="shared" si="54"/>
        <v/>
      </c>
    </row>
    <row r="400" spans="2:29" x14ac:dyDescent="0.25">
      <c r="B400" s="54">
        <v>394</v>
      </c>
      <c r="C400" s="168"/>
      <c r="D400" s="51"/>
      <c r="E400" s="29"/>
      <c r="F400" s="48"/>
      <c r="G400" s="29"/>
      <c r="H400" s="187"/>
      <c r="I400" s="187"/>
      <c r="J400" s="195"/>
      <c r="K400" s="86" t="str">
        <f t="shared" si="48"/>
        <v/>
      </c>
      <c r="L400" s="57" t="str">
        <f t="shared" si="55"/>
        <v/>
      </c>
      <c r="M400" s="186"/>
      <c r="N400" s="189"/>
      <c r="O400" s="190"/>
      <c r="P400" s="190" t="str">
        <f>IF(OR(ISBLANK(V400),COUNTBLANK(V400:$V$1048576)=ROWS(V400:$V$1048576)),"",$R$2*(1+SUM(V$7:V400)))</f>
        <v/>
      </c>
      <c r="Q400" s="191"/>
      <c r="R400" s="189"/>
      <c r="S400" s="53" t="str">
        <f t="shared" si="49"/>
        <v/>
      </c>
      <c r="T400" s="63" t="str">
        <f t="shared" si="50"/>
        <v/>
      </c>
      <c r="U400" s="64" t="str">
        <f>IF(OR(ISBLANK(Trades!R400), ISBLANK(Trades!H400), ISBLANK(Trades!I400)), "", IF(Trades!H400=Trades!I400, "N/A", (Trades!R400-Trades!H400)/(Trades!H400-Trades!I400)))</f>
        <v/>
      </c>
      <c r="V400" s="65" t="str">
        <f t="shared" si="51"/>
        <v/>
      </c>
      <c r="W400" s="66" t="str">
        <f t="shared" si="52"/>
        <v/>
      </c>
      <c r="X400" s="62" t="str">
        <f t="shared" si="53"/>
        <v/>
      </c>
      <c r="Y400" s="45"/>
      <c r="Z400" s="44"/>
      <c r="AA400" s="41"/>
      <c r="AB400" s="39"/>
      <c r="AC400" s="37" t="str">
        <f t="shared" si="54"/>
        <v/>
      </c>
    </row>
    <row r="401" spans="2:29" x14ac:dyDescent="0.25">
      <c r="B401" s="54">
        <v>395</v>
      </c>
      <c r="C401" s="168"/>
      <c r="D401" s="51"/>
      <c r="E401" s="29"/>
      <c r="F401" s="48"/>
      <c r="G401" s="29"/>
      <c r="H401" s="187"/>
      <c r="I401" s="187"/>
      <c r="J401" s="195"/>
      <c r="K401" s="86" t="str">
        <f t="shared" si="48"/>
        <v/>
      </c>
      <c r="L401" s="57" t="str">
        <f t="shared" si="55"/>
        <v/>
      </c>
      <c r="M401" s="186"/>
      <c r="N401" s="189"/>
      <c r="O401" s="190"/>
      <c r="P401" s="190" t="str">
        <f>IF(OR(ISBLANK(V401),COUNTBLANK(V401:$V$1048576)=ROWS(V401:$V$1048576)),"",$R$2*(1+SUM(V$7:V401)))</f>
        <v/>
      </c>
      <c r="Q401" s="191"/>
      <c r="R401" s="189"/>
      <c r="S401" s="53" t="str">
        <f t="shared" si="49"/>
        <v/>
      </c>
      <c r="T401" s="63" t="str">
        <f t="shared" si="50"/>
        <v/>
      </c>
      <c r="U401" s="64" t="str">
        <f>IF(OR(ISBLANK(Trades!R401), ISBLANK(Trades!H401), ISBLANK(Trades!I401)), "", IF(Trades!H401=Trades!I401, "N/A", (Trades!R401-Trades!H401)/(Trades!H401-Trades!I401)))</f>
        <v/>
      </c>
      <c r="V401" s="65" t="str">
        <f t="shared" si="51"/>
        <v/>
      </c>
      <c r="W401" s="66" t="str">
        <f t="shared" si="52"/>
        <v/>
      </c>
      <c r="X401" s="62" t="str">
        <f t="shared" si="53"/>
        <v/>
      </c>
      <c r="Y401" s="45"/>
      <c r="Z401" s="44"/>
      <c r="AA401" s="41"/>
      <c r="AB401" s="39"/>
      <c r="AC401" s="37" t="str">
        <f t="shared" si="54"/>
        <v/>
      </c>
    </row>
    <row r="402" spans="2:29" x14ac:dyDescent="0.25">
      <c r="B402" s="54">
        <v>396</v>
      </c>
      <c r="C402" s="168"/>
      <c r="D402" s="51"/>
      <c r="E402" s="29"/>
      <c r="F402" s="48"/>
      <c r="G402" s="29"/>
      <c r="H402" s="187"/>
      <c r="I402" s="187"/>
      <c r="J402" s="195"/>
      <c r="K402" s="86" t="str">
        <f t="shared" si="48"/>
        <v/>
      </c>
      <c r="L402" s="57" t="str">
        <f t="shared" si="55"/>
        <v/>
      </c>
      <c r="M402" s="186"/>
      <c r="N402" s="189"/>
      <c r="O402" s="190"/>
      <c r="P402" s="190" t="str">
        <f>IF(OR(ISBLANK(V402),COUNTBLANK(V402:$V$1048576)=ROWS(V402:$V$1048576)),"",$R$2*(1+SUM(V$7:V402)))</f>
        <v/>
      </c>
      <c r="Q402" s="191"/>
      <c r="R402" s="189"/>
      <c r="S402" s="53" t="str">
        <f t="shared" si="49"/>
        <v/>
      </c>
      <c r="T402" s="63" t="str">
        <f t="shared" si="50"/>
        <v/>
      </c>
      <c r="U402" s="64" t="str">
        <f>IF(OR(ISBLANK(Trades!R402), ISBLANK(Trades!H402), ISBLANK(Trades!I402)), "", IF(Trades!H402=Trades!I402, "N/A", (Trades!R402-Trades!H402)/(Trades!H402-Trades!I402)))</f>
        <v/>
      </c>
      <c r="V402" s="65" t="str">
        <f t="shared" si="51"/>
        <v/>
      </c>
      <c r="W402" s="66" t="str">
        <f t="shared" si="52"/>
        <v/>
      </c>
      <c r="X402" s="62" t="str">
        <f t="shared" si="53"/>
        <v/>
      </c>
      <c r="Y402" s="45"/>
      <c r="Z402" s="44"/>
      <c r="AA402" s="41"/>
      <c r="AB402" s="39"/>
      <c r="AC402" s="37" t="str">
        <f t="shared" si="54"/>
        <v/>
      </c>
    </row>
    <row r="403" spans="2:29" x14ac:dyDescent="0.25">
      <c r="B403" s="54">
        <v>397</v>
      </c>
      <c r="C403" s="168"/>
      <c r="D403" s="51"/>
      <c r="E403" s="29"/>
      <c r="F403" s="48"/>
      <c r="G403" s="29"/>
      <c r="H403" s="187"/>
      <c r="I403" s="187"/>
      <c r="J403" s="195"/>
      <c r="K403" s="86" t="str">
        <f t="shared" si="48"/>
        <v/>
      </c>
      <c r="L403" s="57" t="str">
        <f t="shared" si="55"/>
        <v/>
      </c>
      <c r="M403" s="186"/>
      <c r="N403" s="189"/>
      <c r="O403" s="190"/>
      <c r="P403" s="190" t="str">
        <f>IF(OR(ISBLANK(V403),COUNTBLANK(V403:$V$1048576)=ROWS(V403:$V$1048576)),"",$R$2*(1+SUM(V$7:V403)))</f>
        <v/>
      </c>
      <c r="Q403" s="191"/>
      <c r="R403" s="189"/>
      <c r="S403" s="53" t="str">
        <f t="shared" si="49"/>
        <v/>
      </c>
      <c r="T403" s="63" t="str">
        <f t="shared" si="50"/>
        <v/>
      </c>
      <c r="U403" s="64" t="str">
        <f>IF(OR(ISBLANK(Trades!R403), ISBLANK(Trades!H403), ISBLANK(Trades!I403)), "", IF(Trades!H403=Trades!I403, "N/A", (Trades!R403-Trades!H403)/(Trades!H403-Trades!I403)))</f>
        <v/>
      </c>
      <c r="V403" s="65" t="str">
        <f t="shared" si="51"/>
        <v/>
      </c>
      <c r="W403" s="66" t="str">
        <f t="shared" si="52"/>
        <v/>
      </c>
      <c r="X403" s="62" t="str">
        <f t="shared" si="53"/>
        <v/>
      </c>
      <c r="Y403" s="45"/>
      <c r="Z403" s="44"/>
      <c r="AA403" s="41"/>
      <c r="AB403" s="39"/>
      <c r="AC403" s="37" t="str">
        <f t="shared" si="54"/>
        <v/>
      </c>
    </row>
    <row r="404" spans="2:29" x14ac:dyDescent="0.25">
      <c r="B404" s="54">
        <v>398</v>
      </c>
      <c r="C404" s="168"/>
      <c r="D404" s="51"/>
      <c r="E404" s="29"/>
      <c r="F404" s="48"/>
      <c r="G404" s="29"/>
      <c r="H404" s="187"/>
      <c r="I404" s="187"/>
      <c r="J404" s="195"/>
      <c r="K404" s="86" t="str">
        <f t="shared" si="48"/>
        <v/>
      </c>
      <c r="L404" s="57" t="str">
        <f t="shared" si="55"/>
        <v/>
      </c>
      <c r="M404" s="186"/>
      <c r="N404" s="189"/>
      <c r="O404" s="190"/>
      <c r="P404" s="190" t="str">
        <f>IF(OR(ISBLANK(V404),COUNTBLANK(V404:$V$1048576)=ROWS(V404:$V$1048576)),"",$R$2*(1+SUM(V$7:V404)))</f>
        <v/>
      </c>
      <c r="Q404" s="191"/>
      <c r="R404" s="189"/>
      <c r="S404" s="53" t="str">
        <f t="shared" si="49"/>
        <v/>
      </c>
      <c r="T404" s="63" t="str">
        <f t="shared" si="50"/>
        <v/>
      </c>
      <c r="U404" s="64" t="str">
        <f>IF(OR(ISBLANK(Trades!R404), ISBLANK(Trades!H404), ISBLANK(Trades!I404)), "", IF(Trades!H404=Trades!I404, "N/A", (Trades!R404-Trades!H404)/(Trades!H404-Trades!I404)))</f>
        <v/>
      </c>
      <c r="V404" s="65" t="str">
        <f t="shared" si="51"/>
        <v/>
      </c>
      <c r="W404" s="66" t="str">
        <f t="shared" si="52"/>
        <v/>
      </c>
      <c r="X404" s="62" t="str">
        <f t="shared" si="53"/>
        <v/>
      </c>
      <c r="Y404" s="45"/>
      <c r="Z404" s="44"/>
      <c r="AA404" s="41"/>
      <c r="AB404" s="39"/>
      <c r="AC404" s="37" t="str">
        <f t="shared" si="54"/>
        <v/>
      </c>
    </row>
    <row r="405" spans="2:29" x14ac:dyDescent="0.25">
      <c r="B405" s="54">
        <v>399</v>
      </c>
      <c r="C405" s="168"/>
      <c r="D405" s="51"/>
      <c r="E405" s="29"/>
      <c r="F405" s="48"/>
      <c r="G405" s="29"/>
      <c r="H405" s="187"/>
      <c r="I405" s="187"/>
      <c r="J405" s="195"/>
      <c r="K405" s="86" t="str">
        <f t="shared" si="48"/>
        <v/>
      </c>
      <c r="L405" s="57" t="str">
        <f t="shared" si="55"/>
        <v/>
      </c>
      <c r="M405" s="186"/>
      <c r="N405" s="189"/>
      <c r="O405" s="190"/>
      <c r="P405" s="190" t="str">
        <f>IF(OR(ISBLANK(V405),COUNTBLANK(V405:$V$1048576)=ROWS(V405:$V$1048576)),"",$R$2*(1+SUM(V$7:V405)))</f>
        <v/>
      </c>
      <c r="Q405" s="191"/>
      <c r="R405" s="189"/>
      <c r="S405" s="53" t="str">
        <f t="shared" si="49"/>
        <v/>
      </c>
      <c r="T405" s="63" t="str">
        <f t="shared" si="50"/>
        <v/>
      </c>
      <c r="U405" s="64" t="str">
        <f>IF(OR(ISBLANK(Trades!R405), ISBLANK(Trades!H405), ISBLANK(Trades!I405)), "", IF(Trades!H405=Trades!I405, "N/A", (Trades!R405-Trades!H405)/(Trades!H405-Trades!I405)))</f>
        <v/>
      </c>
      <c r="V405" s="65" t="str">
        <f t="shared" si="51"/>
        <v/>
      </c>
      <c r="W405" s="66" t="str">
        <f t="shared" si="52"/>
        <v/>
      </c>
      <c r="X405" s="62" t="str">
        <f t="shared" si="53"/>
        <v/>
      </c>
      <c r="Y405" s="45"/>
      <c r="Z405" s="44"/>
      <c r="AA405" s="41"/>
      <c r="AB405" s="39"/>
      <c r="AC405" s="37" t="str">
        <f t="shared" si="54"/>
        <v/>
      </c>
    </row>
    <row r="406" spans="2:29" x14ac:dyDescent="0.25">
      <c r="B406" s="54">
        <v>400</v>
      </c>
      <c r="C406" s="168"/>
      <c r="D406" s="51"/>
      <c r="E406" s="29"/>
      <c r="F406" s="48"/>
      <c r="G406" s="29"/>
      <c r="H406" s="187"/>
      <c r="I406" s="187"/>
      <c r="J406" s="195"/>
      <c r="K406" s="86" t="str">
        <f t="shared" si="48"/>
        <v/>
      </c>
      <c r="L406" s="57" t="str">
        <f t="shared" si="55"/>
        <v/>
      </c>
      <c r="M406" s="186"/>
      <c r="N406" s="189"/>
      <c r="O406" s="190"/>
      <c r="P406" s="190" t="str">
        <f>IF(OR(ISBLANK(V406),COUNTBLANK(V406:$V$1048576)=ROWS(V406:$V$1048576)),"",$R$2*(1+SUM(V$7:V406)))</f>
        <v/>
      </c>
      <c r="Q406" s="191"/>
      <c r="R406" s="189"/>
      <c r="S406" s="53" t="str">
        <f t="shared" si="49"/>
        <v/>
      </c>
      <c r="T406" s="63" t="str">
        <f t="shared" si="50"/>
        <v/>
      </c>
      <c r="U406" s="64" t="str">
        <f>IF(OR(ISBLANK(Trades!R406), ISBLANK(Trades!H406), ISBLANK(Trades!I406)), "", IF(Trades!H406=Trades!I406, "N/A", (Trades!R406-Trades!H406)/(Trades!H406-Trades!I406)))</f>
        <v/>
      </c>
      <c r="V406" s="65" t="str">
        <f t="shared" si="51"/>
        <v/>
      </c>
      <c r="W406" s="66" t="str">
        <f t="shared" si="52"/>
        <v/>
      </c>
      <c r="X406" s="62" t="str">
        <f t="shared" si="53"/>
        <v/>
      </c>
      <c r="Y406" s="45"/>
      <c r="Z406" s="44"/>
      <c r="AA406" s="41"/>
      <c r="AB406" s="39"/>
      <c r="AC406" s="37" t="str">
        <f t="shared" si="54"/>
        <v/>
      </c>
    </row>
    <row r="407" spans="2:29" x14ac:dyDescent="0.25">
      <c r="B407" s="54">
        <v>401</v>
      </c>
      <c r="C407" s="168"/>
      <c r="D407" s="51"/>
      <c r="E407" s="29"/>
      <c r="F407" s="48"/>
      <c r="G407" s="29"/>
      <c r="H407" s="187"/>
      <c r="I407" s="187"/>
      <c r="J407" s="195"/>
      <c r="K407" s="86" t="str">
        <f t="shared" si="48"/>
        <v/>
      </c>
      <c r="L407" s="57" t="str">
        <f t="shared" si="55"/>
        <v/>
      </c>
      <c r="M407" s="186"/>
      <c r="N407" s="189"/>
      <c r="O407" s="190"/>
      <c r="P407" s="190" t="str">
        <f>IF(OR(ISBLANK(V407),COUNTBLANK(V407:$V$1048576)=ROWS(V407:$V$1048576)),"",$R$2*(1+SUM(V$7:V407)))</f>
        <v/>
      </c>
      <c r="Q407" s="191"/>
      <c r="R407" s="189"/>
      <c r="S407" s="53" t="str">
        <f t="shared" si="49"/>
        <v/>
      </c>
      <c r="T407" s="63" t="str">
        <f t="shared" si="50"/>
        <v/>
      </c>
      <c r="U407" s="64" t="str">
        <f>IF(OR(ISBLANK(Trades!R407), ISBLANK(Trades!H407), ISBLANK(Trades!I407)), "", IF(Trades!H407=Trades!I407, "N/A", (Trades!R407-Trades!H407)/(Trades!H407-Trades!I407)))</f>
        <v/>
      </c>
      <c r="V407" s="65" t="str">
        <f t="shared" si="51"/>
        <v/>
      </c>
      <c r="W407" s="66" t="str">
        <f t="shared" si="52"/>
        <v/>
      </c>
      <c r="X407" s="62" t="str">
        <f t="shared" si="53"/>
        <v/>
      </c>
      <c r="Y407" s="45"/>
      <c r="Z407" s="44"/>
      <c r="AA407" s="41"/>
      <c r="AB407" s="39"/>
      <c r="AC407" s="37" t="str">
        <f t="shared" si="54"/>
        <v/>
      </c>
    </row>
    <row r="408" spans="2:29" x14ac:dyDescent="0.25">
      <c r="B408" s="54">
        <v>402</v>
      </c>
      <c r="C408" s="168"/>
      <c r="D408" s="51"/>
      <c r="E408" s="29"/>
      <c r="F408" s="48"/>
      <c r="G408" s="29"/>
      <c r="H408" s="187"/>
      <c r="I408" s="187"/>
      <c r="J408" s="195"/>
      <c r="K408" s="86" t="str">
        <f t="shared" si="48"/>
        <v/>
      </c>
      <c r="L408" s="57" t="str">
        <f t="shared" si="55"/>
        <v/>
      </c>
      <c r="M408" s="186"/>
      <c r="N408" s="189"/>
      <c r="O408" s="190"/>
      <c r="P408" s="190" t="str">
        <f>IF(OR(ISBLANK(V408),COUNTBLANK(V408:$V$1048576)=ROWS(V408:$V$1048576)),"",$R$2*(1+SUM(V$7:V408)))</f>
        <v/>
      </c>
      <c r="Q408" s="191"/>
      <c r="R408" s="189"/>
      <c r="S408" s="53" t="str">
        <f t="shared" si="49"/>
        <v/>
      </c>
      <c r="T408" s="63" t="str">
        <f t="shared" si="50"/>
        <v/>
      </c>
      <c r="U408" s="64" t="str">
        <f>IF(OR(ISBLANK(Trades!R408), ISBLANK(Trades!H408), ISBLANK(Trades!I408)), "", IF(Trades!H408=Trades!I408, "N/A", (Trades!R408-Trades!H408)/(Trades!H408-Trades!I408)))</f>
        <v/>
      </c>
      <c r="V408" s="65" t="str">
        <f t="shared" si="51"/>
        <v/>
      </c>
      <c r="W408" s="66" t="str">
        <f t="shared" si="52"/>
        <v/>
      </c>
      <c r="X408" s="62" t="str">
        <f t="shared" si="53"/>
        <v/>
      </c>
      <c r="Y408" s="45"/>
      <c r="Z408" s="44"/>
      <c r="AA408" s="41"/>
      <c r="AB408" s="39"/>
      <c r="AC408" s="37" t="str">
        <f t="shared" si="54"/>
        <v/>
      </c>
    </row>
    <row r="409" spans="2:29" x14ac:dyDescent="0.25">
      <c r="B409" s="54">
        <v>403</v>
      </c>
      <c r="C409" s="168"/>
      <c r="D409" s="51"/>
      <c r="E409" s="29"/>
      <c r="F409" s="48"/>
      <c r="G409" s="29"/>
      <c r="H409" s="187"/>
      <c r="I409" s="187"/>
      <c r="J409" s="195"/>
      <c r="K409" s="86" t="str">
        <f t="shared" si="48"/>
        <v/>
      </c>
      <c r="L409" s="57" t="str">
        <f t="shared" si="55"/>
        <v/>
      </c>
      <c r="M409" s="186"/>
      <c r="N409" s="189"/>
      <c r="O409" s="190"/>
      <c r="P409" s="190" t="str">
        <f>IF(OR(ISBLANK(V409),COUNTBLANK(V409:$V$1048576)=ROWS(V409:$V$1048576)),"",$R$2*(1+SUM(V$7:V409)))</f>
        <v/>
      </c>
      <c r="Q409" s="191"/>
      <c r="R409" s="189"/>
      <c r="S409" s="53" t="str">
        <f t="shared" si="49"/>
        <v/>
      </c>
      <c r="T409" s="63" t="str">
        <f t="shared" si="50"/>
        <v/>
      </c>
      <c r="U409" s="64" t="str">
        <f>IF(OR(ISBLANK(Trades!R409), ISBLANK(Trades!H409), ISBLANK(Trades!I409)), "", IF(Trades!H409=Trades!I409, "N/A", (Trades!R409-Trades!H409)/(Trades!H409-Trades!I409)))</f>
        <v/>
      </c>
      <c r="V409" s="65" t="str">
        <f t="shared" si="51"/>
        <v/>
      </c>
      <c r="W409" s="66" t="str">
        <f t="shared" si="52"/>
        <v/>
      </c>
      <c r="X409" s="62" t="str">
        <f t="shared" si="53"/>
        <v/>
      </c>
      <c r="Y409" s="45"/>
      <c r="Z409" s="44"/>
      <c r="AA409" s="41"/>
      <c r="AB409" s="39"/>
      <c r="AC409" s="37" t="str">
        <f t="shared" si="54"/>
        <v/>
      </c>
    </row>
    <row r="410" spans="2:29" x14ac:dyDescent="0.25">
      <c r="B410" s="54">
        <v>404</v>
      </c>
      <c r="C410" s="168"/>
      <c r="D410" s="51"/>
      <c r="E410" s="29"/>
      <c r="F410" s="48"/>
      <c r="G410" s="29"/>
      <c r="H410" s="187"/>
      <c r="I410" s="187"/>
      <c r="J410" s="195"/>
      <c r="K410" s="86" t="str">
        <f t="shared" si="48"/>
        <v/>
      </c>
      <c r="L410" s="57" t="str">
        <f t="shared" si="55"/>
        <v/>
      </c>
      <c r="M410" s="186"/>
      <c r="N410" s="189"/>
      <c r="O410" s="190"/>
      <c r="P410" s="190" t="str">
        <f>IF(OR(ISBLANK(V410),COUNTBLANK(V410:$V$1048576)=ROWS(V410:$V$1048576)),"",$R$2*(1+SUM(V$7:V410)))</f>
        <v/>
      </c>
      <c r="Q410" s="191"/>
      <c r="R410" s="189"/>
      <c r="S410" s="53" t="str">
        <f t="shared" si="49"/>
        <v/>
      </c>
      <c r="T410" s="63" t="str">
        <f t="shared" si="50"/>
        <v/>
      </c>
      <c r="U410" s="64" t="str">
        <f>IF(OR(ISBLANK(Trades!R410), ISBLANK(Trades!H410), ISBLANK(Trades!I410)), "", IF(Trades!H410=Trades!I410, "N/A", (Trades!R410-Trades!H410)/(Trades!H410-Trades!I410)))</f>
        <v/>
      </c>
      <c r="V410" s="65" t="str">
        <f t="shared" si="51"/>
        <v/>
      </c>
      <c r="W410" s="66" t="str">
        <f t="shared" si="52"/>
        <v/>
      </c>
      <c r="X410" s="62" t="str">
        <f t="shared" si="53"/>
        <v/>
      </c>
      <c r="Y410" s="45"/>
      <c r="Z410" s="44"/>
      <c r="AA410" s="41"/>
      <c r="AB410" s="39"/>
      <c r="AC410" s="37" t="str">
        <f t="shared" si="54"/>
        <v/>
      </c>
    </row>
    <row r="411" spans="2:29" x14ac:dyDescent="0.25">
      <c r="B411" s="54">
        <v>405</v>
      </c>
      <c r="C411" s="168"/>
      <c r="D411" s="51"/>
      <c r="E411" s="29"/>
      <c r="F411" s="48"/>
      <c r="G411" s="29"/>
      <c r="H411" s="187"/>
      <c r="I411" s="187"/>
      <c r="J411" s="195"/>
      <c r="K411" s="86" t="str">
        <f t="shared" si="48"/>
        <v/>
      </c>
      <c r="L411" s="57" t="str">
        <f t="shared" si="55"/>
        <v/>
      </c>
      <c r="M411" s="186"/>
      <c r="N411" s="189"/>
      <c r="O411" s="190"/>
      <c r="P411" s="190" t="str">
        <f>IF(OR(ISBLANK(V411),COUNTBLANK(V411:$V$1048576)=ROWS(V411:$V$1048576)),"",$R$2*(1+SUM(V$7:V411)))</f>
        <v/>
      </c>
      <c r="Q411" s="191"/>
      <c r="R411" s="189"/>
      <c r="S411" s="53" t="str">
        <f t="shared" si="49"/>
        <v/>
      </c>
      <c r="T411" s="63" t="str">
        <f t="shared" si="50"/>
        <v/>
      </c>
      <c r="U411" s="64" t="str">
        <f>IF(OR(ISBLANK(Trades!R411), ISBLANK(Trades!H411), ISBLANK(Trades!I411)), "", IF(Trades!H411=Trades!I411, "N/A", (Trades!R411-Trades!H411)/(Trades!H411-Trades!I411)))</f>
        <v/>
      </c>
      <c r="V411" s="65" t="str">
        <f t="shared" si="51"/>
        <v/>
      </c>
      <c r="W411" s="66" t="str">
        <f t="shared" si="52"/>
        <v/>
      </c>
      <c r="X411" s="62" t="str">
        <f t="shared" si="53"/>
        <v/>
      </c>
      <c r="Y411" s="45"/>
      <c r="Z411" s="44"/>
      <c r="AA411" s="41"/>
      <c r="AB411" s="39"/>
      <c r="AC411" s="37" t="str">
        <f t="shared" si="54"/>
        <v/>
      </c>
    </row>
    <row r="412" spans="2:29" x14ac:dyDescent="0.25">
      <c r="B412" s="54">
        <v>406</v>
      </c>
      <c r="C412" s="168"/>
      <c r="D412" s="51"/>
      <c r="E412" s="29"/>
      <c r="F412" s="48"/>
      <c r="G412" s="29"/>
      <c r="H412" s="187"/>
      <c r="I412" s="187"/>
      <c r="J412" s="195"/>
      <c r="K412" s="86" t="str">
        <f t="shared" si="48"/>
        <v/>
      </c>
      <c r="L412" s="57" t="str">
        <f t="shared" si="55"/>
        <v/>
      </c>
      <c r="M412" s="186"/>
      <c r="N412" s="189"/>
      <c r="O412" s="190"/>
      <c r="P412" s="190" t="str">
        <f>IF(OR(ISBLANK(V412),COUNTBLANK(V412:$V$1048576)=ROWS(V412:$V$1048576)),"",$R$2*(1+SUM(V$7:V412)))</f>
        <v/>
      </c>
      <c r="Q412" s="191"/>
      <c r="R412" s="189"/>
      <c r="S412" s="53" t="str">
        <f t="shared" si="49"/>
        <v/>
      </c>
      <c r="T412" s="63" t="str">
        <f t="shared" si="50"/>
        <v/>
      </c>
      <c r="U412" s="64" t="str">
        <f>IF(OR(ISBLANK(Trades!R412), ISBLANK(Trades!H412), ISBLANK(Trades!I412)), "", IF(Trades!H412=Trades!I412, "N/A", (Trades!R412-Trades!H412)/(Trades!H412-Trades!I412)))</f>
        <v/>
      </c>
      <c r="V412" s="65" t="str">
        <f t="shared" si="51"/>
        <v/>
      </c>
      <c r="W412" s="66" t="str">
        <f t="shared" si="52"/>
        <v/>
      </c>
      <c r="X412" s="62" t="str">
        <f t="shared" si="53"/>
        <v/>
      </c>
      <c r="Y412" s="45"/>
      <c r="Z412" s="44"/>
      <c r="AA412" s="41"/>
      <c r="AB412" s="39"/>
      <c r="AC412" s="37" t="str">
        <f t="shared" si="54"/>
        <v/>
      </c>
    </row>
    <row r="413" spans="2:29" x14ac:dyDescent="0.25">
      <c r="B413" s="54">
        <v>407</v>
      </c>
      <c r="C413" s="168"/>
      <c r="D413" s="51"/>
      <c r="E413" s="29"/>
      <c r="F413" s="48"/>
      <c r="G413" s="29"/>
      <c r="H413" s="187"/>
      <c r="I413" s="187"/>
      <c r="J413" s="195"/>
      <c r="K413" s="86" t="str">
        <f t="shared" si="48"/>
        <v/>
      </c>
      <c r="L413" s="57" t="str">
        <f t="shared" si="55"/>
        <v/>
      </c>
      <c r="M413" s="186"/>
      <c r="N413" s="189"/>
      <c r="O413" s="190"/>
      <c r="P413" s="190" t="str">
        <f>IF(OR(ISBLANK(V413),COUNTBLANK(V413:$V$1048576)=ROWS(V413:$V$1048576)),"",$R$2*(1+SUM(V$7:V413)))</f>
        <v/>
      </c>
      <c r="Q413" s="191"/>
      <c r="R413" s="189"/>
      <c r="S413" s="53" t="str">
        <f t="shared" si="49"/>
        <v/>
      </c>
      <c r="T413" s="63" t="str">
        <f t="shared" si="50"/>
        <v/>
      </c>
      <c r="U413" s="64" t="str">
        <f>IF(OR(ISBLANK(Trades!R413), ISBLANK(Trades!H413), ISBLANK(Trades!I413)), "", IF(Trades!H413=Trades!I413, "N/A", (Trades!R413-Trades!H413)/(Trades!H413-Trades!I413)))</f>
        <v/>
      </c>
      <c r="V413" s="65" t="str">
        <f t="shared" si="51"/>
        <v/>
      </c>
      <c r="W413" s="66" t="str">
        <f t="shared" si="52"/>
        <v/>
      </c>
      <c r="X413" s="62" t="str">
        <f t="shared" si="53"/>
        <v/>
      </c>
      <c r="Y413" s="45"/>
      <c r="Z413" s="44"/>
      <c r="AA413" s="41"/>
      <c r="AB413" s="39"/>
      <c r="AC413" s="37" t="str">
        <f t="shared" si="54"/>
        <v/>
      </c>
    </row>
    <row r="414" spans="2:29" x14ac:dyDescent="0.25">
      <c r="B414" s="54">
        <v>408</v>
      </c>
      <c r="C414" s="168"/>
      <c r="D414" s="51"/>
      <c r="E414" s="29"/>
      <c r="F414" s="48"/>
      <c r="G414" s="29"/>
      <c r="H414" s="187"/>
      <c r="I414" s="187"/>
      <c r="J414" s="195"/>
      <c r="K414" s="86" t="str">
        <f t="shared" si="48"/>
        <v/>
      </c>
      <c r="L414" s="57" t="str">
        <f t="shared" si="55"/>
        <v/>
      </c>
      <c r="M414" s="186"/>
      <c r="N414" s="189"/>
      <c r="O414" s="190"/>
      <c r="P414" s="190" t="str">
        <f>IF(OR(ISBLANK(V414),COUNTBLANK(V414:$V$1048576)=ROWS(V414:$V$1048576)),"",$R$2*(1+SUM(V$7:V414)))</f>
        <v/>
      </c>
      <c r="Q414" s="191"/>
      <c r="R414" s="189"/>
      <c r="S414" s="53" t="str">
        <f t="shared" si="49"/>
        <v/>
      </c>
      <c r="T414" s="63" t="str">
        <f t="shared" si="50"/>
        <v/>
      </c>
      <c r="U414" s="64" t="str">
        <f>IF(OR(ISBLANK(Trades!R414), ISBLANK(Trades!H414), ISBLANK(Trades!I414)), "", IF(Trades!H414=Trades!I414, "N/A", (Trades!R414-Trades!H414)/(Trades!H414-Trades!I414)))</f>
        <v/>
      </c>
      <c r="V414" s="65" t="str">
        <f t="shared" si="51"/>
        <v/>
      </c>
      <c r="W414" s="66" t="str">
        <f t="shared" si="52"/>
        <v/>
      </c>
      <c r="X414" s="62" t="str">
        <f t="shared" si="53"/>
        <v/>
      </c>
      <c r="Y414" s="45"/>
      <c r="Z414" s="44"/>
      <c r="AA414" s="41"/>
      <c r="AB414" s="39"/>
      <c r="AC414" s="37" t="str">
        <f t="shared" si="54"/>
        <v/>
      </c>
    </row>
    <row r="415" spans="2:29" x14ac:dyDescent="0.25">
      <c r="B415" s="54">
        <v>409</v>
      </c>
      <c r="C415" s="168"/>
      <c r="D415" s="51"/>
      <c r="E415" s="29"/>
      <c r="F415" s="48"/>
      <c r="G415" s="29"/>
      <c r="H415" s="187"/>
      <c r="I415" s="187"/>
      <c r="J415" s="195"/>
      <c r="K415" s="86" t="str">
        <f t="shared" si="48"/>
        <v/>
      </c>
      <c r="L415" s="57" t="str">
        <f t="shared" si="55"/>
        <v/>
      </c>
      <c r="M415" s="186"/>
      <c r="N415" s="189"/>
      <c r="O415" s="190"/>
      <c r="P415" s="190" t="str">
        <f>IF(OR(ISBLANK(V415),COUNTBLANK(V415:$V$1048576)=ROWS(V415:$V$1048576)),"",$R$2*(1+SUM(V$7:V415)))</f>
        <v/>
      </c>
      <c r="Q415" s="191"/>
      <c r="R415" s="189"/>
      <c r="S415" s="53" t="str">
        <f t="shared" si="49"/>
        <v/>
      </c>
      <c r="T415" s="63" t="str">
        <f t="shared" si="50"/>
        <v/>
      </c>
      <c r="U415" s="64" t="str">
        <f>IF(OR(ISBLANK(Trades!R415), ISBLANK(Trades!H415), ISBLANK(Trades!I415)), "", IF(Trades!H415=Trades!I415, "N/A", (Trades!R415-Trades!H415)/(Trades!H415-Trades!I415)))</f>
        <v/>
      </c>
      <c r="V415" s="65" t="str">
        <f t="shared" si="51"/>
        <v/>
      </c>
      <c r="W415" s="66" t="str">
        <f t="shared" si="52"/>
        <v/>
      </c>
      <c r="X415" s="62" t="str">
        <f t="shared" si="53"/>
        <v/>
      </c>
      <c r="Y415" s="45"/>
      <c r="Z415" s="44"/>
      <c r="AA415" s="41"/>
      <c r="AB415" s="39"/>
      <c r="AC415" s="37" t="str">
        <f t="shared" si="54"/>
        <v/>
      </c>
    </row>
    <row r="416" spans="2:29" x14ac:dyDescent="0.25">
      <c r="B416" s="54">
        <v>410</v>
      </c>
      <c r="C416" s="168"/>
      <c r="D416" s="51"/>
      <c r="E416" s="29"/>
      <c r="F416" s="48"/>
      <c r="G416" s="29"/>
      <c r="H416" s="187"/>
      <c r="I416" s="187"/>
      <c r="J416" s="195"/>
      <c r="K416" s="86" t="str">
        <f t="shared" si="48"/>
        <v/>
      </c>
      <c r="L416" s="57" t="str">
        <f t="shared" si="55"/>
        <v/>
      </c>
      <c r="M416" s="186"/>
      <c r="N416" s="189"/>
      <c r="O416" s="190"/>
      <c r="P416" s="190" t="str">
        <f>IF(OR(ISBLANK(V416),COUNTBLANK(V416:$V$1048576)=ROWS(V416:$V$1048576)),"",$R$2*(1+SUM(V$7:V416)))</f>
        <v/>
      </c>
      <c r="Q416" s="191"/>
      <c r="R416" s="189"/>
      <c r="S416" s="53" t="str">
        <f t="shared" si="49"/>
        <v/>
      </c>
      <c r="T416" s="63" t="str">
        <f t="shared" si="50"/>
        <v/>
      </c>
      <c r="U416" s="64" t="str">
        <f>IF(OR(ISBLANK(Trades!R416), ISBLANK(Trades!H416), ISBLANK(Trades!I416)), "", IF(Trades!H416=Trades!I416, "N/A", (Trades!R416-Trades!H416)/(Trades!H416-Trades!I416)))</f>
        <v/>
      </c>
      <c r="V416" s="65" t="str">
        <f t="shared" si="51"/>
        <v/>
      </c>
      <c r="W416" s="66" t="str">
        <f t="shared" si="52"/>
        <v/>
      </c>
      <c r="X416" s="62" t="str">
        <f t="shared" si="53"/>
        <v/>
      </c>
      <c r="Y416" s="45"/>
      <c r="Z416" s="44"/>
      <c r="AA416" s="41"/>
      <c r="AB416" s="39"/>
      <c r="AC416" s="37" t="str">
        <f t="shared" si="54"/>
        <v/>
      </c>
    </row>
    <row r="417" spans="2:29" x14ac:dyDescent="0.25">
      <c r="B417" s="54">
        <v>411</v>
      </c>
      <c r="C417" s="168"/>
      <c r="D417" s="51"/>
      <c r="E417" s="29"/>
      <c r="F417" s="48"/>
      <c r="G417" s="29"/>
      <c r="H417" s="187"/>
      <c r="I417" s="187"/>
      <c r="J417" s="195"/>
      <c r="K417" s="86" t="str">
        <f t="shared" si="48"/>
        <v/>
      </c>
      <c r="L417" s="57" t="str">
        <f t="shared" si="55"/>
        <v/>
      </c>
      <c r="M417" s="186"/>
      <c r="N417" s="189"/>
      <c r="O417" s="190"/>
      <c r="P417" s="190" t="str">
        <f>IF(OR(ISBLANK(V417),COUNTBLANK(V417:$V$1048576)=ROWS(V417:$V$1048576)),"",$R$2*(1+SUM(V$7:V417)))</f>
        <v/>
      </c>
      <c r="Q417" s="191"/>
      <c r="R417" s="189"/>
      <c r="S417" s="53" t="str">
        <f t="shared" si="49"/>
        <v/>
      </c>
      <c r="T417" s="63" t="str">
        <f t="shared" si="50"/>
        <v/>
      </c>
      <c r="U417" s="64" t="str">
        <f>IF(OR(ISBLANK(Trades!R417), ISBLANK(Trades!H417), ISBLANK(Trades!I417)), "", IF(Trades!H417=Trades!I417, "N/A", (Trades!R417-Trades!H417)/(Trades!H417-Trades!I417)))</f>
        <v/>
      </c>
      <c r="V417" s="65" t="str">
        <f t="shared" si="51"/>
        <v/>
      </c>
      <c r="W417" s="66" t="str">
        <f t="shared" si="52"/>
        <v/>
      </c>
      <c r="X417" s="62" t="str">
        <f t="shared" si="53"/>
        <v/>
      </c>
      <c r="Y417" s="45"/>
      <c r="Z417" s="44"/>
      <c r="AA417" s="41"/>
      <c r="AB417" s="39"/>
      <c r="AC417" s="37" t="str">
        <f t="shared" si="54"/>
        <v/>
      </c>
    </row>
    <row r="418" spans="2:29" x14ac:dyDescent="0.25">
      <c r="B418" s="54">
        <v>412</v>
      </c>
      <c r="C418" s="168"/>
      <c r="D418" s="51"/>
      <c r="E418" s="29"/>
      <c r="F418" s="48"/>
      <c r="G418" s="29"/>
      <c r="H418" s="187"/>
      <c r="I418" s="187"/>
      <c r="J418" s="195"/>
      <c r="K418" s="86" t="str">
        <f t="shared" si="48"/>
        <v/>
      </c>
      <c r="L418" s="57" t="str">
        <f t="shared" si="55"/>
        <v/>
      </c>
      <c r="M418" s="186"/>
      <c r="N418" s="189"/>
      <c r="O418" s="190"/>
      <c r="P418" s="190" t="str">
        <f>IF(OR(ISBLANK(V418),COUNTBLANK(V418:$V$1048576)=ROWS(V418:$V$1048576)),"",$R$2*(1+SUM(V$7:V418)))</f>
        <v/>
      </c>
      <c r="Q418" s="191"/>
      <c r="R418" s="189"/>
      <c r="S418" s="53" t="str">
        <f t="shared" si="49"/>
        <v/>
      </c>
      <c r="T418" s="63" t="str">
        <f t="shared" si="50"/>
        <v/>
      </c>
      <c r="U418" s="64" t="str">
        <f>IF(OR(ISBLANK(Trades!R418), ISBLANK(Trades!H418), ISBLANK(Trades!I418)), "", IF(Trades!H418=Trades!I418, "N/A", (Trades!R418-Trades!H418)/(Trades!H418-Trades!I418)))</f>
        <v/>
      </c>
      <c r="V418" s="65" t="str">
        <f t="shared" si="51"/>
        <v/>
      </c>
      <c r="W418" s="66" t="str">
        <f t="shared" si="52"/>
        <v/>
      </c>
      <c r="X418" s="62" t="str">
        <f t="shared" si="53"/>
        <v/>
      </c>
      <c r="Y418" s="45"/>
      <c r="Z418" s="44"/>
      <c r="AA418" s="41"/>
      <c r="AB418" s="39"/>
      <c r="AC418" s="37" t="str">
        <f t="shared" si="54"/>
        <v/>
      </c>
    </row>
    <row r="419" spans="2:29" x14ac:dyDescent="0.25">
      <c r="B419" s="54">
        <v>413</v>
      </c>
      <c r="C419" s="168"/>
      <c r="D419" s="51"/>
      <c r="E419" s="29"/>
      <c r="F419" s="48"/>
      <c r="G419" s="29"/>
      <c r="H419" s="187"/>
      <c r="I419" s="187"/>
      <c r="J419" s="195"/>
      <c r="K419" s="86" t="str">
        <f t="shared" si="48"/>
        <v/>
      </c>
      <c r="L419" s="57" t="str">
        <f t="shared" si="55"/>
        <v/>
      </c>
      <c r="M419" s="186"/>
      <c r="N419" s="189"/>
      <c r="O419" s="190"/>
      <c r="P419" s="190" t="str">
        <f>IF(OR(ISBLANK(V419),COUNTBLANK(V419:$V$1048576)=ROWS(V419:$V$1048576)),"",$R$2*(1+SUM(V$7:V419)))</f>
        <v/>
      </c>
      <c r="Q419" s="191"/>
      <c r="R419" s="189"/>
      <c r="S419" s="53" t="str">
        <f t="shared" si="49"/>
        <v/>
      </c>
      <c r="T419" s="63" t="str">
        <f t="shared" si="50"/>
        <v/>
      </c>
      <c r="U419" s="64" t="str">
        <f>IF(OR(ISBLANK(Trades!R419), ISBLANK(Trades!H419), ISBLANK(Trades!I419)), "", IF(Trades!H419=Trades!I419, "N/A", (Trades!R419-Trades!H419)/(Trades!H419-Trades!I419)))</f>
        <v/>
      </c>
      <c r="V419" s="65" t="str">
        <f t="shared" si="51"/>
        <v/>
      </c>
      <c r="W419" s="66" t="str">
        <f t="shared" si="52"/>
        <v/>
      </c>
      <c r="X419" s="62" t="str">
        <f t="shared" si="53"/>
        <v/>
      </c>
      <c r="Y419" s="45"/>
      <c r="Z419" s="44"/>
      <c r="AA419" s="41"/>
      <c r="AB419" s="39"/>
      <c r="AC419" s="37" t="str">
        <f t="shared" si="54"/>
        <v/>
      </c>
    </row>
    <row r="420" spans="2:29" x14ac:dyDescent="0.25">
      <c r="B420" s="54">
        <v>414</v>
      </c>
      <c r="C420" s="168"/>
      <c r="D420" s="51"/>
      <c r="E420" s="29"/>
      <c r="F420" s="48"/>
      <c r="G420" s="29"/>
      <c r="H420" s="187"/>
      <c r="I420" s="187"/>
      <c r="J420" s="195"/>
      <c r="K420" s="86" t="str">
        <f t="shared" si="48"/>
        <v/>
      </c>
      <c r="L420" s="57" t="str">
        <f t="shared" si="55"/>
        <v/>
      </c>
      <c r="M420" s="186"/>
      <c r="N420" s="189"/>
      <c r="O420" s="190"/>
      <c r="P420" s="190" t="str">
        <f>IF(OR(ISBLANK(V420),COUNTBLANK(V420:$V$1048576)=ROWS(V420:$V$1048576)),"",$R$2*(1+SUM(V$7:V420)))</f>
        <v/>
      </c>
      <c r="Q420" s="191"/>
      <c r="R420" s="189"/>
      <c r="S420" s="53" t="str">
        <f t="shared" si="49"/>
        <v/>
      </c>
      <c r="T420" s="63" t="str">
        <f t="shared" si="50"/>
        <v/>
      </c>
      <c r="U420" s="64" t="str">
        <f>IF(OR(ISBLANK(Trades!R420), ISBLANK(Trades!H420), ISBLANK(Trades!I420)), "", IF(Trades!H420=Trades!I420, "N/A", (Trades!R420-Trades!H420)/(Trades!H420-Trades!I420)))</f>
        <v/>
      </c>
      <c r="V420" s="65" t="str">
        <f t="shared" si="51"/>
        <v/>
      </c>
      <c r="W420" s="66" t="str">
        <f t="shared" si="52"/>
        <v/>
      </c>
      <c r="X420" s="62" t="str">
        <f t="shared" si="53"/>
        <v/>
      </c>
      <c r="Y420" s="45"/>
      <c r="Z420" s="44"/>
      <c r="AA420" s="41"/>
      <c r="AB420" s="39"/>
      <c r="AC420" s="37" t="str">
        <f t="shared" si="54"/>
        <v/>
      </c>
    </row>
    <row r="421" spans="2:29" x14ac:dyDescent="0.25">
      <c r="B421" s="54">
        <v>415</v>
      </c>
      <c r="C421" s="168"/>
      <c r="D421" s="51"/>
      <c r="E421" s="29"/>
      <c r="F421" s="48"/>
      <c r="G421" s="29"/>
      <c r="H421" s="187"/>
      <c r="I421" s="187"/>
      <c r="J421" s="195"/>
      <c r="K421" s="86" t="str">
        <f t="shared" si="48"/>
        <v/>
      </c>
      <c r="L421" s="57" t="str">
        <f t="shared" si="55"/>
        <v/>
      </c>
      <c r="M421" s="186"/>
      <c r="N421" s="189"/>
      <c r="O421" s="190"/>
      <c r="P421" s="190" t="str">
        <f>IF(OR(ISBLANK(V421),COUNTBLANK(V421:$V$1048576)=ROWS(V421:$V$1048576)),"",$R$2*(1+SUM(V$7:V421)))</f>
        <v/>
      </c>
      <c r="Q421" s="191"/>
      <c r="R421" s="189"/>
      <c r="S421" s="53" t="str">
        <f t="shared" si="49"/>
        <v/>
      </c>
      <c r="T421" s="63" t="str">
        <f t="shared" si="50"/>
        <v/>
      </c>
      <c r="U421" s="64" t="str">
        <f>IF(OR(ISBLANK(Trades!R421), ISBLANK(Trades!H421), ISBLANK(Trades!I421)), "", IF(Trades!H421=Trades!I421, "N/A", (Trades!R421-Trades!H421)/(Trades!H421-Trades!I421)))</f>
        <v/>
      </c>
      <c r="V421" s="65" t="str">
        <f t="shared" si="51"/>
        <v/>
      </c>
      <c r="W421" s="66" t="str">
        <f t="shared" si="52"/>
        <v/>
      </c>
      <c r="X421" s="62" t="str">
        <f t="shared" si="53"/>
        <v/>
      </c>
      <c r="Y421" s="45"/>
      <c r="Z421" s="44"/>
      <c r="AA421" s="41"/>
      <c r="AB421" s="39"/>
      <c r="AC421" s="37" t="str">
        <f t="shared" si="54"/>
        <v/>
      </c>
    </row>
    <row r="422" spans="2:29" x14ac:dyDescent="0.25">
      <c r="B422" s="54">
        <v>416</v>
      </c>
      <c r="C422" s="168"/>
      <c r="D422" s="51"/>
      <c r="E422" s="29"/>
      <c r="F422" s="48"/>
      <c r="G422" s="29"/>
      <c r="H422" s="187"/>
      <c r="I422" s="187"/>
      <c r="J422" s="195"/>
      <c r="K422" s="86" t="str">
        <f t="shared" si="48"/>
        <v/>
      </c>
      <c r="L422" s="57" t="str">
        <f t="shared" si="55"/>
        <v/>
      </c>
      <c r="M422" s="186"/>
      <c r="N422" s="189"/>
      <c r="O422" s="190"/>
      <c r="P422" s="190" t="str">
        <f>IF(OR(ISBLANK(V422),COUNTBLANK(V422:$V$1048576)=ROWS(V422:$V$1048576)),"",$R$2*(1+SUM(V$7:V422)))</f>
        <v/>
      </c>
      <c r="Q422" s="191"/>
      <c r="R422" s="189"/>
      <c r="S422" s="53" t="str">
        <f t="shared" si="49"/>
        <v/>
      </c>
      <c r="T422" s="63" t="str">
        <f t="shared" si="50"/>
        <v/>
      </c>
      <c r="U422" s="64" t="str">
        <f>IF(OR(ISBLANK(Trades!R422), ISBLANK(Trades!H422), ISBLANK(Trades!I422)), "", IF(Trades!H422=Trades!I422, "N/A", (Trades!R422-Trades!H422)/(Trades!H422-Trades!I422)))</f>
        <v/>
      </c>
      <c r="V422" s="65" t="str">
        <f t="shared" si="51"/>
        <v/>
      </c>
      <c r="W422" s="66" t="str">
        <f t="shared" si="52"/>
        <v/>
      </c>
      <c r="X422" s="62" t="str">
        <f t="shared" si="53"/>
        <v/>
      </c>
      <c r="Y422" s="45"/>
      <c r="Z422" s="44"/>
      <c r="AA422" s="41"/>
      <c r="AB422" s="39"/>
      <c r="AC422" s="37" t="str">
        <f t="shared" si="54"/>
        <v/>
      </c>
    </row>
    <row r="423" spans="2:29" x14ac:dyDescent="0.25">
      <c r="B423" s="54">
        <v>417</v>
      </c>
      <c r="C423" s="168"/>
      <c r="D423" s="51"/>
      <c r="E423" s="29"/>
      <c r="F423" s="48"/>
      <c r="G423" s="29"/>
      <c r="H423" s="187"/>
      <c r="I423" s="187"/>
      <c r="J423" s="195"/>
      <c r="K423" s="86" t="str">
        <f t="shared" si="48"/>
        <v/>
      </c>
      <c r="L423" s="57" t="str">
        <f t="shared" si="55"/>
        <v/>
      </c>
      <c r="M423" s="186"/>
      <c r="N423" s="189"/>
      <c r="O423" s="190"/>
      <c r="P423" s="190" t="str">
        <f>IF(OR(ISBLANK(V423),COUNTBLANK(V423:$V$1048576)=ROWS(V423:$V$1048576)),"",$R$2*(1+SUM(V$7:V423)))</f>
        <v/>
      </c>
      <c r="Q423" s="191"/>
      <c r="R423" s="189"/>
      <c r="S423" s="53" t="str">
        <f t="shared" si="49"/>
        <v/>
      </c>
      <c r="T423" s="63" t="str">
        <f t="shared" si="50"/>
        <v/>
      </c>
      <c r="U423" s="64" t="str">
        <f>IF(OR(ISBLANK(Trades!R423), ISBLANK(Trades!H423), ISBLANK(Trades!I423)), "", IF(Trades!H423=Trades!I423, "N/A", (Trades!R423-Trades!H423)/(Trades!H423-Trades!I423)))</f>
        <v/>
      </c>
      <c r="V423" s="65" t="str">
        <f t="shared" si="51"/>
        <v/>
      </c>
      <c r="W423" s="66" t="str">
        <f t="shared" si="52"/>
        <v/>
      </c>
      <c r="X423" s="62" t="str">
        <f t="shared" si="53"/>
        <v/>
      </c>
      <c r="Y423" s="45"/>
      <c r="Z423" s="44"/>
      <c r="AA423" s="41"/>
      <c r="AB423" s="39"/>
      <c r="AC423" s="37" t="str">
        <f t="shared" si="54"/>
        <v/>
      </c>
    </row>
    <row r="424" spans="2:29" x14ac:dyDescent="0.25">
      <c r="B424" s="54">
        <v>418</v>
      </c>
      <c r="C424" s="168"/>
      <c r="D424" s="51"/>
      <c r="E424" s="29"/>
      <c r="F424" s="48"/>
      <c r="G424" s="29"/>
      <c r="H424" s="187"/>
      <c r="I424" s="187"/>
      <c r="J424" s="195"/>
      <c r="K424" s="86" t="str">
        <f t="shared" si="48"/>
        <v/>
      </c>
      <c r="L424" s="57" t="str">
        <f t="shared" si="55"/>
        <v/>
      </c>
      <c r="M424" s="186"/>
      <c r="N424" s="189"/>
      <c r="O424" s="190"/>
      <c r="P424" s="190" t="str">
        <f>IF(OR(ISBLANK(V424),COUNTBLANK(V424:$V$1048576)=ROWS(V424:$V$1048576)),"",$R$2*(1+SUM(V$7:V424)))</f>
        <v/>
      </c>
      <c r="Q424" s="191"/>
      <c r="R424" s="189"/>
      <c r="S424" s="53" t="str">
        <f t="shared" si="49"/>
        <v/>
      </c>
      <c r="T424" s="63" t="str">
        <f t="shared" si="50"/>
        <v/>
      </c>
      <c r="U424" s="64" t="str">
        <f>IF(OR(ISBLANK(Trades!R424), ISBLANK(Trades!H424), ISBLANK(Trades!I424)), "", IF(Trades!H424=Trades!I424, "N/A", (Trades!R424-Trades!H424)/(Trades!H424-Trades!I424)))</f>
        <v/>
      </c>
      <c r="V424" s="65" t="str">
        <f t="shared" si="51"/>
        <v/>
      </c>
      <c r="W424" s="66" t="str">
        <f t="shared" si="52"/>
        <v/>
      </c>
      <c r="X424" s="62" t="str">
        <f t="shared" si="53"/>
        <v/>
      </c>
      <c r="Y424" s="45"/>
      <c r="Z424" s="44"/>
      <c r="AA424" s="41"/>
      <c r="AB424" s="39"/>
      <c r="AC424" s="37" t="str">
        <f t="shared" si="54"/>
        <v/>
      </c>
    </row>
    <row r="425" spans="2:29" x14ac:dyDescent="0.25">
      <c r="B425" s="54">
        <v>419</v>
      </c>
      <c r="C425" s="168"/>
      <c r="D425" s="51"/>
      <c r="E425" s="29"/>
      <c r="F425" s="48"/>
      <c r="G425" s="29"/>
      <c r="H425" s="187"/>
      <c r="I425" s="187"/>
      <c r="J425" s="195"/>
      <c r="K425" s="86" t="str">
        <f t="shared" si="48"/>
        <v/>
      </c>
      <c r="L425" s="57" t="str">
        <f t="shared" si="55"/>
        <v/>
      </c>
      <c r="M425" s="186"/>
      <c r="N425" s="189"/>
      <c r="O425" s="190"/>
      <c r="P425" s="190" t="str">
        <f>IF(OR(ISBLANK(V425),COUNTBLANK(V425:$V$1048576)=ROWS(V425:$V$1048576)),"",$R$2*(1+SUM(V$7:V425)))</f>
        <v/>
      </c>
      <c r="Q425" s="191"/>
      <c r="R425" s="189"/>
      <c r="S425" s="53" t="str">
        <f t="shared" si="49"/>
        <v/>
      </c>
      <c r="T425" s="63" t="str">
        <f t="shared" si="50"/>
        <v/>
      </c>
      <c r="U425" s="64" t="str">
        <f>IF(OR(ISBLANK(Trades!R425), ISBLANK(Trades!H425), ISBLANK(Trades!I425)), "", IF(Trades!H425=Trades!I425, "N/A", (Trades!R425-Trades!H425)/(Trades!H425-Trades!I425)))</f>
        <v/>
      </c>
      <c r="V425" s="65" t="str">
        <f t="shared" si="51"/>
        <v/>
      </c>
      <c r="W425" s="66" t="str">
        <f t="shared" si="52"/>
        <v/>
      </c>
      <c r="X425" s="62" t="str">
        <f t="shared" si="53"/>
        <v/>
      </c>
      <c r="Y425" s="45"/>
      <c r="Z425" s="44"/>
      <c r="AA425" s="41"/>
      <c r="AB425" s="39"/>
      <c r="AC425" s="37" t="str">
        <f t="shared" si="54"/>
        <v/>
      </c>
    </row>
    <row r="426" spans="2:29" x14ac:dyDescent="0.25">
      <c r="B426" s="54">
        <v>420</v>
      </c>
      <c r="C426" s="168"/>
      <c r="D426" s="51"/>
      <c r="E426" s="29"/>
      <c r="F426" s="48"/>
      <c r="G426" s="29"/>
      <c r="H426" s="187"/>
      <c r="I426" s="187"/>
      <c r="J426" s="195"/>
      <c r="K426" s="86" t="str">
        <f t="shared" si="48"/>
        <v/>
      </c>
      <c r="L426" s="57" t="str">
        <f t="shared" si="55"/>
        <v/>
      </c>
      <c r="M426" s="186"/>
      <c r="N426" s="189"/>
      <c r="O426" s="190"/>
      <c r="P426" s="190" t="str">
        <f>IF(OR(ISBLANK(V426),COUNTBLANK(V426:$V$1048576)=ROWS(V426:$V$1048576)),"",$R$2*(1+SUM(V$7:V426)))</f>
        <v/>
      </c>
      <c r="Q426" s="191"/>
      <c r="R426" s="189"/>
      <c r="S426" s="53" t="str">
        <f t="shared" si="49"/>
        <v/>
      </c>
      <c r="T426" s="63" t="str">
        <f t="shared" si="50"/>
        <v/>
      </c>
      <c r="U426" s="64" t="str">
        <f>IF(OR(ISBLANK(Trades!R426), ISBLANK(Trades!H426), ISBLANK(Trades!I426)), "", IF(Trades!H426=Trades!I426, "N/A", (Trades!R426-Trades!H426)/(Trades!H426-Trades!I426)))</f>
        <v/>
      </c>
      <c r="V426" s="65" t="str">
        <f t="shared" si="51"/>
        <v/>
      </c>
      <c r="W426" s="66" t="str">
        <f t="shared" si="52"/>
        <v/>
      </c>
      <c r="X426" s="62" t="str">
        <f t="shared" si="53"/>
        <v/>
      </c>
      <c r="Y426" s="45"/>
      <c r="Z426" s="44"/>
      <c r="AA426" s="41"/>
      <c r="AB426" s="39"/>
      <c r="AC426" s="37" t="str">
        <f t="shared" si="54"/>
        <v/>
      </c>
    </row>
    <row r="427" spans="2:29" x14ac:dyDescent="0.25">
      <c r="B427" s="54">
        <v>421</v>
      </c>
      <c r="C427" s="168"/>
      <c r="D427" s="51"/>
      <c r="E427" s="29"/>
      <c r="F427" s="48"/>
      <c r="G427" s="29"/>
      <c r="H427" s="187"/>
      <c r="I427" s="187"/>
      <c r="J427" s="195"/>
      <c r="K427" s="86" t="str">
        <f t="shared" si="48"/>
        <v/>
      </c>
      <c r="L427" s="57" t="str">
        <f t="shared" si="55"/>
        <v/>
      </c>
      <c r="M427" s="186"/>
      <c r="N427" s="189"/>
      <c r="O427" s="190"/>
      <c r="P427" s="190" t="str">
        <f>IF(OR(ISBLANK(V427),COUNTBLANK(V427:$V$1048576)=ROWS(V427:$V$1048576)),"",$R$2*(1+SUM(V$7:V427)))</f>
        <v/>
      </c>
      <c r="Q427" s="191"/>
      <c r="R427" s="189"/>
      <c r="S427" s="53" t="str">
        <f t="shared" si="49"/>
        <v/>
      </c>
      <c r="T427" s="63" t="str">
        <f t="shared" si="50"/>
        <v/>
      </c>
      <c r="U427" s="64" t="str">
        <f>IF(OR(ISBLANK(Trades!R427), ISBLANK(Trades!H427), ISBLANK(Trades!I427)), "", IF(Trades!H427=Trades!I427, "N/A", (Trades!R427-Trades!H427)/(Trades!H427-Trades!I427)))</f>
        <v/>
      </c>
      <c r="V427" s="65" t="str">
        <f t="shared" si="51"/>
        <v/>
      </c>
      <c r="W427" s="66" t="str">
        <f t="shared" si="52"/>
        <v/>
      </c>
      <c r="X427" s="62" t="str">
        <f t="shared" si="53"/>
        <v/>
      </c>
      <c r="Y427" s="45"/>
      <c r="Z427" s="44"/>
      <c r="AA427" s="41"/>
      <c r="AB427" s="39"/>
      <c r="AC427" s="37" t="str">
        <f t="shared" si="54"/>
        <v/>
      </c>
    </row>
    <row r="428" spans="2:29" x14ac:dyDescent="0.25">
      <c r="B428" s="54">
        <v>422</v>
      </c>
      <c r="C428" s="168"/>
      <c r="D428" s="51"/>
      <c r="E428" s="29"/>
      <c r="F428" s="48"/>
      <c r="G428" s="29"/>
      <c r="H428" s="187"/>
      <c r="I428" s="187"/>
      <c r="J428" s="195"/>
      <c r="K428" s="86" t="str">
        <f t="shared" si="48"/>
        <v/>
      </c>
      <c r="L428" s="57" t="str">
        <f t="shared" si="55"/>
        <v/>
      </c>
      <c r="M428" s="186"/>
      <c r="N428" s="189"/>
      <c r="O428" s="190"/>
      <c r="P428" s="190" t="str">
        <f>IF(OR(ISBLANK(V428),COUNTBLANK(V428:$V$1048576)=ROWS(V428:$V$1048576)),"",$R$2*(1+SUM(V$7:V428)))</f>
        <v/>
      </c>
      <c r="Q428" s="191"/>
      <c r="R428" s="189"/>
      <c r="S428" s="53" t="str">
        <f t="shared" si="49"/>
        <v/>
      </c>
      <c r="T428" s="63" t="str">
        <f t="shared" si="50"/>
        <v/>
      </c>
      <c r="U428" s="64" t="str">
        <f>IF(OR(ISBLANK(Trades!R428), ISBLANK(Trades!H428), ISBLANK(Trades!I428)), "", IF(Trades!H428=Trades!I428, "N/A", (Trades!R428-Trades!H428)/(Trades!H428-Trades!I428)))</f>
        <v/>
      </c>
      <c r="V428" s="65" t="str">
        <f t="shared" si="51"/>
        <v/>
      </c>
      <c r="W428" s="66" t="str">
        <f t="shared" si="52"/>
        <v/>
      </c>
      <c r="X428" s="62" t="str">
        <f t="shared" si="53"/>
        <v/>
      </c>
      <c r="Y428" s="45"/>
      <c r="Z428" s="44"/>
      <c r="AA428" s="41"/>
      <c r="AB428" s="39"/>
      <c r="AC428" s="37" t="str">
        <f t="shared" si="54"/>
        <v/>
      </c>
    </row>
    <row r="429" spans="2:29" x14ac:dyDescent="0.25">
      <c r="B429" s="54">
        <v>423</v>
      </c>
      <c r="C429" s="168"/>
      <c r="D429" s="51"/>
      <c r="E429" s="29"/>
      <c r="F429" s="48"/>
      <c r="G429" s="29"/>
      <c r="H429" s="187"/>
      <c r="I429" s="187"/>
      <c r="J429" s="195"/>
      <c r="K429" s="86" t="str">
        <f t="shared" si="48"/>
        <v/>
      </c>
      <c r="L429" s="57" t="str">
        <f t="shared" si="55"/>
        <v/>
      </c>
      <c r="M429" s="186"/>
      <c r="N429" s="189"/>
      <c r="O429" s="190"/>
      <c r="P429" s="190" t="str">
        <f>IF(OR(ISBLANK(V429),COUNTBLANK(V429:$V$1048576)=ROWS(V429:$V$1048576)),"",$R$2*(1+SUM(V$7:V429)))</f>
        <v/>
      </c>
      <c r="Q429" s="191"/>
      <c r="R429" s="189"/>
      <c r="S429" s="53" t="str">
        <f t="shared" si="49"/>
        <v/>
      </c>
      <c r="T429" s="63" t="str">
        <f t="shared" si="50"/>
        <v/>
      </c>
      <c r="U429" s="64" t="str">
        <f>IF(OR(ISBLANK(Trades!R429), ISBLANK(Trades!H429), ISBLANK(Trades!I429)), "", IF(Trades!H429=Trades!I429, "N/A", (Trades!R429-Trades!H429)/(Trades!H429-Trades!I429)))</f>
        <v/>
      </c>
      <c r="V429" s="65" t="str">
        <f t="shared" si="51"/>
        <v/>
      </c>
      <c r="W429" s="66" t="str">
        <f t="shared" si="52"/>
        <v/>
      </c>
      <c r="X429" s="62" t="str">
        <f t="shared" si="53"/>
        <v/>
      </c>
      <c r="Y429" s="45"/>
      <c r="Z429" s="44"/>
      <c r="AA429" s="41"/>
      <c r="AB429" s="39"/>
      <c r="AC429" s="37" t="str">
        <f t="shared" si="54"/>
        <v/>
      </c>
    </row>
    <row r="430" spans="2:29" x14ac:dyDescent="0.25">
      <c r="B430" s="54">
        <v>424</v>
      </c>
      <c r="C430" s="168"/>
      <c r="D430" s="51"/>
      <c r="E430" s="29"/>
      <c r="F430" s="48"/>
      <c r="G430" s="29"/>
      <c r="H430" s="187"/>
      <c r="I430" s="187"/>
      <c r="J430" s="195"/>
      <c r="K430" s="86" t="str">
        <f t="shared" si="48"/>
        <v/>
      </c>
      <c r="L430" s="57" t="str">
        <f t="shared" si="55"/>
        <v/>
      </c>
      <c r="M430" s="186"/>
      <c r="N430" s="189"/>
      <c r="O430" s="190"/>
      <c r="P430" s="190" t="str">
        <f>IF(OR(ISBLANK(V430),COUNTBLANK(V430:$V$1048576)=ROWS(V430:$V$1048576)),"",$R$2*(1+SUM(V$7:V430)))</f>
        <v/>
      </c>
      <c r="Q430" s="191"/>
      <c r="R430" s="189"/>
      <c r="S430" s="53" t="str">
        <f t="shared" si="49"/>
        <v/>
      </c>
      <c r="T430" s="63" t="str">
        <f t="shared" si="50"/>
        <v/>
      </c>
      <c r="U430" s="64" t="str">
        <f>IF(OR(ISBLANK(Trades!R430), ISBLANK(Trades!H430), ISBLANK(Trades!I430)), "", IF(Trades!H430=Trades!I430, "N/A", (Trades!R430-Trades!H430)/(Trades!H430-Trades!I430)))</f>
        <v/>
      </c>
      <c r="V430" s="65" t="str">
        <f t="shared" si="51"/>
        <v/>
      </c>
      <c r="W430" s="66" t="str">
        <f t="shared" si="52"/>
        <v/>
      </c>
      <c r="X430" s="62" t="str">
        <f t="shared" si="53"/>
        <v/>
      </c>
      <c r="Y430" s="45"/>
      <c r="Z430" s="44"/>
      <c r="AA430" s="41"/>
      <c r="AB430" s="39"/>
      <c r="AC430" s="37" t="str">
        <f t="shared" si="54"/>
        <v/>
      </c>
    </row>
    <row r="431" spans="2:29" x14ac:dyDescent="0.25">
      <c r="B431" s="54">
        <v>425</v>
      </c>
      <c r="C431" s="168"/>
      <c r="D431" s="51"/>
      <c r="E431" s="29"/>
      <c r="F431" s="48"/>
      <c r="G431" s="29"/>
      <c r="H431" s="187"/>
      <c r="I431" s="187"/>
      <c r="J431" s="195"/>
      <c r="K431" s="86" t="str">
        <f t="shared" si="48"/>
        <v/>
      </c>
      <c r="L431" s="57" t="str">
        <f t="shared" si="55"/>
        <v/>
      </c>
      <c r="M431" s="186"/>
      <c r="N431" s="189"/>
      <c r="O431" s="190"/>
      <c r="P431" s="190" t="str">
        <f>IF(OR(ISBLANK(V431),COUNTBLANK(V431:$V$1048576)=ROWS(V431:$V$1048576)),"",$R$2*(1+SUM(V$7:V431)))</f>
        <v/>
      </c>
      <c r="Q431" s="191"/>
      <c r="R431" s="189"/>
      <c r="S431" s="53" t="str">
        <f t="shared" si="49"/>
        <v/>
      </c>
      <c r="T431" s="63" t="str">
        <f t="shared" si="50"/>
        <v/>
      </c>
      <c r="U431" s="64" t="str">
        <f>IF(OR(ISBLANK(Trades!R431), ISBLANK(Trades!H431), ISBLANK(Trades!I431)), "", IF(Trades!H431=Trades!I431, "N/A", (Trades!R431-Trades!H431)/(Trades!H431-Trades!I431)))</f>
        <v/>
      </c>
      <c r="V431" s="65" t="str">
        <f t="shared" si="51"/>
        <v/>
      </c>
      <c r="W431" s="66" t="str">
        <f t="shared" si="52"/>
        <v/>
      </c>
      <c r="X431" s="62" t="str">
        <f t="shared" si="53"/>
        <v/>
      </c>
      <c r="Y431" s="45"/>
      <c r="Z431" s="44"/>
      <c r="AA431" s="41"/>
      <c r="AB431" s="39"/>
      <c r="AC431" s="37" t="str">
        <f t="shared" si="54"/>
        <v/>
      </c>
    </row>
    <row r="432" spans="2:29" x14ac:dyDescent="0.25">
      <c r="B432" s="54">
        <v>426</v>
      </c>
      <c r="C432" s="168"/>
      <c r="D432" s="51"/>
      <c r="E432" s="29"/>
      <c r="F432" s="48"/>
      <c r="G432" s="29"/>
      <c r="H432" s="187"/>
      <c r="I432" s="187"/>
      <c r="J432" s="195"/>
      <c r="K432" s="86" t="str">
        <f t="shared" si="48"/>
        <v/>
      </c>
      <c r="L432" s="57" t="str">
        <f t="shared" si="55"/>
        <v/>
      </c>
      <c r="M432" s="186"/>
      <c r="N432" s="189"/>
      <c r="O432" s="190"/>
      <c r="P432" s="190" t="str">
        <f>IF(OR(ISBLANK(V432),COUNTBLANK(V432:$V$1048576)=ROWS(V432:$V$1048576)),"",$R$2*(1+SUM(V$7:V432)))</f>
        <v/>
      </c>
      <c r="Q432" s="191"/>
      <c r="R432" s="189"/>
      <c r="S432" s="53" t="str">
        <f t="shared" si="49"/>
        <v/>
      </c>
      <c r="T432" s="63" t="str">
        <f t="shared" si="50"/>
        <v/>
      </c>
      <c r="U432" s="64" t="str">
        <f>IF(OR(ISBLANK(Trades!R432), ISBLANK(Trades!H432), ISBLANK(Trades!I432)), "", IF(Trades!H432=Trades!I432, "N/A", (Trades!R432-Trades!H432)/(Trades!H432-Trades!I432)))</f>
        <v/>
      </c>
      <c r="V432" s="65" t="str">
        <f t="shared" si="51"/>
        <v/>
      </c>
      <c r="W432" s="66" t="str">
        <f t="shared" si="52"/>
        <v/>
      </c>
      <c r="X432" s="62" t="str">
        <f t="shared" si="53"/>
        <v/>
      </c>
      <c r="Y432" s="45"/>
      <c r="Z432" s="44"/>
      <c r="AA432" s="41"/>
      <c r="AB432" s="39"/>
      <c r="AC432" s="37" t="str">
        <f t="shared" si="54"/>
        <v/>
      </c>
    </row>
    <row r="433" spans="2:29" x14ac:dyDescent="0.25">
      <c r="B433" s="54">
        <v>427</v>
      </c>
      <c r="C433" s="168"/>
      <c r="D433" s="51"/>
      <c r="E433" s="29"/>
      <c r="F433" s="48"/>
      <c r="G433" s="29"/>
      <c r="H433" s="187"/>
      <c r="I433" s="187"/>
      <c r="J433" s="195"/>
      <c r="K433" s="86" t="str">
        <f t="shared" si="48"/>
        <v/>
      </c>
      <c r="L433" s="57" t="str">
        <f t="shared" si="55"/>
        <v/>
      </c>
      <c r="M433" s="186"/>
      <c r="N433" s="189"/>
      <c r="O433" s="190"/>
      <c r="P433" s="190" t="str">
        <f>IF(OR(ISBLANK(V433),COUNTBLANK(V433:$V$1048576)=ROWS(V433:$V$1048576)),"",$R$2*(1+SUM(V$7:V433)))</f>
        <v/>
      </c>
      <c r="Q433" s="191"/>
      <c r="R433" s="189"/>
      <c r="S433" s="53" t="str">
        <f t="shared" si="49"/>
        <v/>
      </c>
      <c r="T433" s="63" t="str">
        <f t="shared" si="50"/>
        <v/>
      </c>
      <c r="U433" s="64" t="str">
        <f>IF(OR(ISBLANK(Trades!R433), ISBLANK(Trades!H433), ISBLANK(Trades!I433)), "", IF(Trades!H433=Trades!I433, "N/A", (Trades!R433-Trades!H433)/(Trades!H433-Trades!I433)))</f>
        <v/>
      </c>
      <c r="V433" s="65" t="str">
        <f t="shared" si="51"/>
        <v/>
      </c>
      <c r="W433" s="66" t="str">
        <f t="shared" si="52"/>
        <v/>
      </c>
      <c r="X433" s="62" t="str">
        <f t="shared" si="53"/>
        <v/>
      </c>
      <c r="Y433" s="45"/>
      <c r="Z433" s="44"/>
      <c r="AA433" s="41"/>
      <c r="AB433" s="39"/>
      <c r="AC433" s="37" t="str">
        <f t="shared" si="54"/>
        <v/>
      </c>
    </row>
    <row r="434" spans="2:29" x14ac:dyDescent="0.25">
      <c r="B434" s="54">
        <v>428</v>
      </c>
      <c r="C434" s="168"/>
      <c r="D434" s="51"/>
      <c r="E434" s="29"/>
      <c r="F434" s="48"/>
      <c r="G434" s="29"/>
      <c r="H434" s="187"/>
      <c r="I434" s="187"/>
      <c r="J434" s="195"/>
      <c r="K434" s="86" t="str">
        <f t="shared" si="48"/>
        <v/>
      </c>
      <c r="L434" s="57" t="str">
        <f t="shared" si="55"/>
        <v/>
      </c>
      <c r="M434" s="186"/>
      <c r="N434" s="189"/>
      <c r="O434" s="190"/>
      <c r="P434" s="190" t="str">
        <f>IF(OR(ISBLANK(V434),COUNTBLANK(V434:$V$1048576)=ROWS(V434:$V$1048576)),"",$R$2*(1+SUM(V$7:V434)))</f>
        <v/>
      </c>
      <c r="Q434" s="191"/>
      <c r="R434" s="189"/>
      <c r="S434" s="53" t="str">
        <f t="shared" si="49"/>
        <v/>
      </c>
      <c r="T434" s="63" t="str">
        <f t="shared" si="50"/>
        <v/>
      </c>
      <c r="U434" s="64" t="str">
        <f>IF(OR(ISBLANK(Trades!R434), ISBLANK(Trades!H434), ISBLANK(Trades!I434)), "", IF(Trades!H434=Trades!I434, "N/A", (Trades!R434-Trades!H434)/(Trades!H434-Trades!I434)))</f>
        <v/>
      </c>
      <c r="V434" s="65" t="str">
        <f t="shared" si="51"/>
        <v/>
      </c>
      <c r="W434" s="66" t="str">
        <f t="shared" si="52"/>
        <v/>
      </c>
      <c r="X434" s="62" t="str">
        <f t="shared" si="53"/>
        <v/>
      </c>
      <c r="Y434" s="45"/>
      <c r="Z434" s="44"/>
      <c r="AA434" s="41"/>
      <c r="AB434" s="39"/>
      <c r="AC434" s="37" t="str">
        <f t="shared" si="54"/>
        <v/>
      </c>
    </row>
    <row r="435" spans="2:29" x14ac:dyDescent="0.25">
      <c r="B435" s="54">
        <v>429</v>
      </c>
      <c r="C435" s="168"/>
      <c r="D435" s="51"/>
      <c r="E435" s="29"/>
      <c r="F435" s="48"/>
      <c r="G435" s="29"/>
      <c r="H435" s="187"/>
      <c r="I435" s="187"/>
      <c r="J435" s="195"/>
      <c r="K435" s="86" t="str">
        <f t="shared" si="48"/>
        <v/>
      </c>
      <c r="L435" s="57" t="str">
        <f t="shared" si="55"/>
        <v/>
      </c>
      <c r="M435" s="186"/>
      <c r="N435" s="189"/>
      <c r="O435" s="190"/>
      <c r="P435" s="190" t="str">
        <f>IF(OR(ISBLANK(V435),COUNTBLANK(V435:$V$1048576)=ROWS(V435:$V$1048576)),"",$R$2*(1+SUM(V$7:V435)))</f>
        <v/>
      </c>
      <c r="Q435" s="191"/>
      <c r="R435" s="189"/>
      <c r="S435" s="53" t="str">
        <f t="shared" si="49"/>
        <v/>
      </c>
      <c r="T435" s="63" t="str">
        <f t="shared" si="50"/>
        <v/>
      </c>
      <c r="U435" s="64" t="str">
        <f>IF(OR(ISBLANK(Trades!R435), ISBLANK(Trades!H435), ISBLANK(Trades!I435)), "", IF(Trades!H435=Trades!I435, "N/A", (Trades!R435-Trades!H435)/(Trades!H435-Trades!I435)))</f>
        <v/>
      </c>
      <c r="V435" s="65" t="str">
        <f t="shared" si="51"/>
        <v/>
      </c>
      <c r="W435" s="66" t="str">
        <f t="shared" si="52"/>
        <v/>
      </c>
      <c r="X435" s="62" t="str">
        <f t="shared" si="53"/>
        <v/>
      </c>
      <c r="Y435" s="45"/>
      <c r="Z435" s="44"/>
      <c r="AA435" s="41"/>
      <c r="AB435" s="39"/>
      <c r="AC435" s="37" t="str">
        <f t="shared" si="54"/>
        <v/>
      </c>
    </row>
    <row r="436" spans="2:29" x14ac:dyDescent="0.25">
      <c r="B436" s="54">
        <v>430</v>
      </c>
      <c r="C436" s="168"/>
      <c r="D436" s="51"/>
      <c r="E436" s="29"/>
      <c r="F436" s="48"/>
      <c r="G436" s="29"/>
      <c r="H436" s="187"/>
      <c r="I436" s="187"/>
      <c r="J436" s="195"/>
      <c r="K436" s="86" t="str">
        <f t="shared" si="48"/>
        <v/>
      </c>
      <c r="L436" s="57" t="str">
        <f t="shared" si="55"/>
        <v/>
      </c>
      <c r="M436" s="186"/>
      <c r="N436" s="189"/>
      <c r="O436" s="190"/>
      <c r="P436" s="190" t="str">
        <f>IF(OR(ISBLANK(V436),COUNTBLANK(V436:$V$1048576)=ROWS(V436:$V$1048576)),"",$R$2*(1+SUM(V$7:V436)))</f>
        <v/>
      </c>
      <c r="Q436" s="191"/>
      <c r="R436" s="189"/>
      <c r="S436" s="53" t="str">
        <f t="shared" si="49"/>
        <v/>
      </c>
      <c r="T436" s="63" t="str">
        <f t="shared" si="50"/>
        <v/>
      </c>
      <c r="U436" s="64" t="str">
        <f>IF(OR(ISBLANK(Trades!R436), ISBLANK(Trades!H436), ISBLANK(Trades!I436)), "", IF(Trades!H436=Trades!I436, "N/A", (Trades!R436-Trades!H436)/(Trades!H436-Trades!I436)))</f>
        <v/>
      </c>
      <c r="V436" s="65" t="str">
        <f t="shared" si="51"/>
        <v/>
      </c>
      <c r="W436" s="66" t="str">
        <f t="shared" si="52"/>
        <v/>
      </c>
      <c r="X436" s="62" t="str">
        <f t="shared" si="53"/>
        <v/>
      </c>
      <c r="Y436" s="45"/>
      <c r="Z436" s="44"/>
      <c r="AA436" s="41"/>
      <c r="AB436" s="39"/>
      <c r="AC436" s="37" t="str">
        <f t="shared" si="54"/>
        <v/>
      </c>
    </row>
    <row r="437" spans="2:29" x14ac:dyDescent="0.25">
      <c r="B437" s="54">
        <v>431</v>
      </c>
      <c r="C437" s="168"/>
      <c r="D437" s="51"/>
      <c r="E437" s="29"/>
      <c r="F437" s="48"/>
      <c r="G437" s="29"/>
      <c r="H437" s="187"/>
      <c r="I437" s="187"/>
      <c r="J437" s="195"/>
      <c r="K437" s="86" t="str">
        <f t="shared" si="48"/>
        <v/>
      </c>
      <c r="L437" s="57" t="str">
        <f t="shared" si="55"/>
        <v/>
      </c>
      <c r="M437" s="186"/>
      <c r="N437" s="189"/>
      <c r="O437" s="190"/>
      <c r="P437" s="190" t="str">
        <f>IF(OR(ISBLANK(V437),COUNTBLANK(V437:$V$1048576)=ROWS(V437:$V$1048576)),"",$R$2*(1+SUM(V$7:V437)))</f>
        <v/>
      </c>
      <c r="Q437" s="191"/>
      <c r="R437" s="189"/>
      <c r="S437" s="53" t="str">
        <f t="shared" si="49"/>
        <v/>
      </c>
      <c r="T437" s="63" t="str">
        <f t="shared" si="50"/>
        <v/>
      </c>
      <c r="U437" s="64" t="str">
        <f>IF(OR(ISBLANK(Trades!R437), ISBLANK(Trades!H437), ISBLANK(Trades!I437)), "", IF(Trades!H437=Trades!I437, "N/A", (Trades!R437-Trades!H437)/(Trades!H437-Trades!I437)))</f>
        <v/>
      </c>
      <c r="V437" s="65" t="str">
        <f t="shared" si="51"/>
        <v/>
      </c>
      <c r="W437" s="66" t="str">
        <f t="shared" si="52"/>
        <v/>
      </c>
      <c r="X437" s="62" t="str">
        <f t="shared" si="53"/>
        <v/>
      </c>
      <c r="Y437" s="45"/>
      <c r="Z437" s="44"/>
      <c r="AA437" s="41"/>
      <c r="AB437" s="39"/>
      <c r="AC437" s="37" t="str">
        <f t="shared" si="54"/>
        <v/>
      </c>
    </row>
    <row r="438" spans="2:29" x14ac:dyDescent="0.25">
      <c r="B438" s="54">
        <v>432</v>
      </c>
      <c r="C438" s="168"/>
      <c r="D438" s="51"/>
      <c r="E438" s="29"/>
      <c r="F438" s="48"/>
      <c r="G438" s="29"/>
      <c r="H438" s="187"/>
      <c r="I438" s="187"/>
      <c r="J438" s="195"/>
      <c r="K438" s="86" t="str">
        <f t="shared" si="48"/>
        <v/>
      </c>
      <c r="L438" s="57" t="str">
        <f t="shared" si="55"/>
        <v/>
      </c>
      <c r="M438" s="186"/>
      <c r="N438" s="189"/>
      <c r="O438" s="190"/>
      <c r="P438" s="190" t="str">
        <f>IF(OR(ISBLANK(V438),COUNTBLANK(V438:$V$1048576)=ROWS(V438:$V$1048576)),"",$R$2*(1+SUM(V$7:V438)))</f>
        <v/>
      </c>
      <c r="Q438" s="191"/>
      <c r="R438" s="189"/>
      <c r="S438" s="53" t="str">
        <f t="shared" si="49"/>
        <v/>
      </c>
      <c r="T438" s="63" t="str">
        <f t="shared" si="50"/>
        <v/>
      </c>
      <c r="U438" s="64" t="str">
        <f>IF(OR(ISBLANK(Trades!R438), ISBLANK(Trades!H438), ISBLANK(Trades!I438)), "", IF(Trades!H438=Trades!I438, "N/A", (Trades!R438-Trades!H438)/(Trades!H438-Trades!I438)))</f>
        <v/>
      </c>
      <c r="V438" s="65" t="str">
        <f t="shared" si="51"/>
        <v/>
      </c>
      <c r="W438" s="66" t="str">
        <f t="shared" si="52"/>
        <v/>
      </c>
      <c r="X438" s="62" t="str">
        <f t="shared" si="53"/>
        <v/>
      </c>
      <c r="Y438" s="45"/>
      <c r="Z438" s="44"/>
      <c r="AA438" s="41"/>
      <c r="AB438" s="39"/>
      <c r="AC438" s="37" t="str">
        <f t="shared" si="54"/>
        <v/>
      </c>
    </row>
    <row r="439" spans="2:29" x14ac:dyDescent="0.25">
      <c r="B439" s="54">
        <v>433</v>
      </c>
      <c r="C439" s="168"/>
      <c r="D439" s="51"/>
      <c r="E439" s="29"/>
      <c r="F439" s="48"/>
      <c r="G439" s="29"/>
      <c r="H439" s="187"/>
      <c r="I439" s="187"/>
      <c r="J439" s="195"/>
      <c r="K439" s="86" t="str">
        <f t="shared" si="48"/>
        <v/>
      </c>
      <c r="L439" s="57" t="str">
        <f t="shared" si="55"/>
        <v/>
      </c>
      <c r="M439" s="186"/>
      <c r="N439" s="189"/>
      <c r="O439" s="190"/>
      <c r="P439" s="190" t="str">
        <f>IF(OR(ISBLANK(V439),COUNTBLANK(V439:$V$1048576)=ROWS(V439:$V$1048576)),"",$R$2*(1+SUM(V$7:V439)))</f>
        <v/>
      </c>
      <c r="Q439" s="191"/>
      <c r="R439" s="189"/>
      <c r="S439" s="53" t="str">
        <f t="shared" si="49"/>
        <v/>
      </c>
      <c r="T439" s="63" t="str">
        <f t="shared" si="50"/>
        <v/>
      </c>
      <c r="U439" s="64" t="str">
        <f>IF(OR(ISBLANK(Trades!R439), ISBLANK(Trades!H439), ISBLANK(Trades!I439)), "", IF(Trades!H439=Trades!I439, "N/A", (Trades!R439-Trades!H439)/(Trades!H439-Trades!I439)))</f>
        <v/>
      </c>
      <c r="V439" s="65" t="str">
        <f t="shared" si="51"/>
        <v/>
      </c>
      <c r="W439" s="66" t="str">
        <f t="shared" si="52"/>
        <v/>
      </c>
      <c r="X439" s="62" t="str">
        <f t="shared" si="53"/>
        <v/>
      </c>
      <c r="Y439" s="45"/>
      <c r="Z439" s="44"/>
      <c r="AA439" s="41"/>
      <c r="AB439" s="39"/>
      <c r="AC439" s="37" t="str">
        <f t="shared" si="54"/>
        <v/>
      </c>
    </row>
    <row r="440" spans="2:29" x14ac:dyDescent="0.25">
      <c r="B440" s="54">
        <v>434</v>
      </c>
      <c r="C440" s="168"/>
      <c r="D440" s="51"/>
      <c r="E440" s="29"/>
      <c r="F440" s="48"/>
      <c r="G440" s="29"/>
      <c r="H440" s="187"/>
      <c r="I440" s="187"/>
      <c r="J440" s="195"/>
      <c r="K440" s="86" t="str">
        <f t="shared" si="48"/>
        <v/>
      </c>
      <c r="L440" s="57" t="str">
        <f t="shared" si="55"/>
        <v/>
      </c>
      <c r="M440" s="186"/>
      <c r="N440" s="189"/>
      <c r="O440" s="190"/>
      <c r="P440" s="190" t="str">
        <f>IF(OR(ISBLANK(V440),COUNTBLANK(V440:$V$1048576)=ROWS(V440:$V$1048576)),"",$R$2*(1+SUM(V$7:V440)))</f>
        <v/>
      </c>
      <c r="Q440" s="191"/>
      <c r="R440" s="189"/>
      <c r="S440" s="53" t="str">
        <f t="shared" si="49"/>
        <v/>
      </c>
      <c r="T440" s="63" t="str">
        <f t="shared" si="50"/>
        <v/>
      </c>
      <c r="U440" s="64" t="str">
        <f>IF(OR(ISBLANK(Trades!R440), ISBLANK(Trades!H440), ISBLANK(Trades!I440)), "", IF(Trades!H440=Trades!I440, "N/A", (Trades!R440-Trades!H440)/(Trades!H440-Trades!I440)))</f>
        <v/>
      </c>
      <c r="V440" s="65" t="str">
        <f t="shared" si="51"/>
        <v/>
      </c>
      <c r="W440" s="66" t="str">
        <f t="shared" si="52"/>
        <v/>
      </c>
      <c r="X440" s="62" t="str">
        <f t="shared" si="53"/>
        <v/>
      </c>
      <c r="Y440" s="45"/>
      <c r="Z440" s="44"/>
      <c r="AA440" s="41"/>
      <c r="AB440" s="39"/>
      <c r="AC440" s="37" t="str">
        <f t="shared" si="54"/>
        <v/>
      </c>
    </row>
    <row r="441" spans="2:29" x14ac:dyDescent="0.25">
      <c r="B441" s="54">
        <v>435</v>
      </c>
      <c r="C441" s="168"/>
      <c r="D441" s="51"/>
      <c r="E441" s="29"/>
      <c r="F441" s="48"/>
      <c r="G441" s="29"/>
      <c r="H441" s="187"/>
      <c r="I441" s="187"/>
      <c r="J441" s="195"/>
      <c r="K441" s="86" t="str">
        <f t="shared" si="48"/>
        <v/>
      </c>
      <c r="L441" s="57" t="str">
        <f t="shared" si="55"/>
        <v/>
      </c>
      <c r="M441" s="186"/>
      <c r="N441" s="189"/>
      <c r="O441" s="190"/>
      <c r="P441" s="190" t="str">
        <f>IF(OR(ISBLANK(V441),COUNTBLANK(V441:$V$1048576)=ROWS(V441:$V$1048576)),"",$R$2*(1+SUM(V$7:V441)))</f>
        <v/>
      </c>
      <c r="Q441" s="191"/>
      <c r="R441" s="189"/>
      <c r="S441" s="53" t="str">
        <f t="shared" si="49"/>
        <v/>
      </c>
      <c r="T441" s="63" t="str">
        <f t="shared" si="50"/>
        <v/>
      </c>
      <c r="U441" s="64" t="str">
        <f>IF(OR(ISBLANK(Trades!R441), ISBLANK(Trades!H441), ISBLANK(Trades!I441)), "", IF(Trades!H441=Trades!I441, "N/A", (Trades!R441-Trades!H441)/(Trades!H441-Trades!I441)))</f>
        <v/>
      </c>
      <c r="V441" s="65" t="str">
        <f t="shared" si="51"/>
        <v/>
      </c>
      <c r="W441" s="66" t="str">
        <f t="shared" si="52"/>
        <v/>
      </c>
      <c r="X441" s="62" t="str">
        <f t="shared" si="53"/>
        <v/>
      </c>
      <c r="Y441" s="45"/>
      <c r="Z441" s="44"/>
      <c r="AA441" s="41"/>
      <c r="AB441" s="39"/>
      <c r="AC441" s="37" t="str">
        <f t="shared" si="54"/>
        <v/>
      </c>
    </row>
    <row r="442" spans="2:29" x14ac:dyDescent="0.25">
      <c r="B442" s="54">
        <v>436</v>
      </c>
      <c r="C442" s="168"/>
      <c r="D442" s="51"/>
      <c r="E442" s="29"/>
      <c r="F442" s="48"/>
      <c r="G442" s="29"/>
      <c r="H442" s="187"/>
      <c r="I442" s="187"/>
      <c r="J442" s="195"/>
      <c r="K442" s="86" t="str">
        <f t="shared" si="48"/>
        <v/>
      </c>
      <c r="L442" s="57" t="str">
        <f t="shared" si="55"/>
        <v/>
      </c>
      <c r="M442" s="186"/>
      <c r="N442" s="189"/>
      <c r="O442" s="190"/>
      <c r="P442" s="190" t="str">
        <f>IF(OR(ISBLANK(V442),COUNTBLANK(V442:$V$1048576)=ROWS(V442:$V$1048576)),"",$R$2*(1+SUM(V$7:V442)))</f>
        <v/>
      </c>
      <c r="Q442" s="191"/>
      <c r="R442" s="189"/>
      <c r="S442" s="53" t="str">
        <f t="shared" si="49"/>
        <v/>
      </c>
      <c r="T442" s="63" t="str">
        <f t="shared" si="50"/>
        <v/>
      </c>
      <c r="U442" s="64" t="str">
        <f>IF(OR(ISBLANK(Trades!R442), ISBLANK(Trades!H442), ISBLANK(Trades!I442)), "", IF(Trades!H442=Trades!I442, "N/A", (Trades!R442-Trades!H442)/(Trades!H442-Trades!I442)))</f>
        <v/>
      </c>
      <c r="V442" s="65" t="str">
        <f t="shared" si="51"/>
        <v/>
      </c>
      <c r="W442" s="66" t="str">
        <f t="shared" si="52"/>
        <v/>
      </c>
      <c r="X442" s="62" t="str">
        <f t="shared" si="53"/>
        <v/>
      </c>
      <c r="Y442" s="45"/>
      <c r="Z442" s="44"/>
      <c r="AA442" s="41"/>
      <c r="AB442" s="39"/>
      <c r="AC442" s="37" t="str">
        <f t="shared" si="54"/>
        <v/>
      </c>
    </row>
    <row r="443" spans="2:29" x14ac:dyDescent="0.25">
      <c r="B443" s="54">
        <v>437</v>
      </c>
      <c r="C443" s="168"/>
      <c r="D443" s="51"/>
      <c r="E443" s="29"/>
      <c r="F443" s="48"/>
      <c r="G443" s="29"/>
      <c r="H443" s="187"/>
      <c r="I443" s="187"/>
      <c r="J443" s="195"/>
      <c r="K443" s="86" t="str">
        <f t="shared" si="48"/>
        <v/>
      </c>
      <c r="L443" s="57" t="str">
        <f t="shared" si="55"/>
        <v/>
      </c>
      <c r="M443" s="186"/>
      <c r="N443" s="189"/>
      <c r="O443" s="190"/>
      <c r="P443" s="190" t="str">
        <f>IF(OR(ISBLANK(V443),COUNTBLANK(V443:$V$1048576)=ROWS(V443:$V$1048576)),"",$R$2*(1+SUM(V$7:V443)))</f>
        <v/>
      </c>
      <c r="Q443" s="191"/>
      <c r="R443" s="189"/>
      <c r="S443" s="53" t="str">
        <f t="shared" si="49"/>
        <v/>
      </c>
      <c r="T443" s="63" t="str">
        <f t="shared" si="50"/>
        <v/>
      </c>
      <c r="U443" s="64" t="str">
        <f>IF(OR(ISBLANK(Trades!R443), ISBLANK(Trades!H443), ISBLANK(Trades!I443)), "", IF(Trades!H443=Trades!I443, "N/A", (Trades!R443-Trades!H443)/(Trades!H443-Trades!I443)))</f>
        <v/>
      </c>
      <c r="V443" s="65" t="str">
        <f t="shared" si="51"/>
        <v/>
      </c>
      <c r="W443" s="66" t="str">
        <f t="shared" si="52"/>
        <v/>
      </c>
      <c r="X443" s="62" t="str">
        <f t="shared" si="53"/>
        <v/>
      </c>
      <c r="Y443" s="45"/>
      <c r="Z443" s="44"/>
      <c r="AA443" s="41"/>
      <c r="AB443" s="39"/>
      <c r="AC443" s="37" t="str">
        <f t="shared" si="54"/>
        <v/>
      </c>
    </row>
    <row r="444" spans="2:29" x14ac:dyDescent="0.25">
      <c r="B444" s="54">
        <v>438</v>
      </c>
      <c r="C444" s="168"/>
      <c r="D444" s="51"/>
      <c r="E444" s="29"/>
      <c r="F444" s="48"/>
      <c r="G444" s="29"/>
      <c r="H444" s="187"/>
      <c r="I444" s="187"/>
      <c r="J444" s="195"/>
      <c r="K444" s="86" t="str">
        <f t="shared" si="48"/>
        <v/>
      </c>
      <c r="L444" s="57" t="str">
        <f t="shared" si="55"/>
        <v/>
      </c>
      <c r="M444" s="186"/>
      <c r="N444" s="189"/>
      <c r="O444" s="190"/>
      <c r="P444" s="190" t="str">
        <f>IF(OR(ISBLANK(V444),COUNTBLANK(V444:$V$1048576)=ROWS(V444:$V$1048576)),"",$R$2*(1+SUM(V$7:V444)))</f>
        <v/>
      </c>
      <c r="Q444" s="191"/>
      <c r="R444" s="189"/>
      <c r="S444" s="53" t="str">
        <f t="shared" si="49"/>
        <v/>
      </c>
      <c r="T444" s="63" t="str">
        <f t="shared" si="50"/>
        <v/>
      </c>
      <c r="U444" s="64" t="str">
        <f>IF(OR(ISBLANK(Trades!R444), ISBLANK(Trades!H444), ISBLANK(Trades!I444)), "", IF(Trades!H444=Trades!I444, "N/A", (Trades!R444-Trades!H444)/(Trades!H444-Trades!I444)))</f>
        <v/>
      </c>
      <c r="V444" s="65" t="str">
        <f t="shared" si="51"/>
        <v/>
      </c>
      <c r="W444" s="66" t="str">
        <f t="shared" si="52"/>
        <v/>
      </c>
      <c r="X444" s="62" t="str">
        <f t="shared" si="53"/>
        <v/>
      </c>
      <c r="Y444" s="45"/>
      <c r="Z444" s="44"/>
      <c r="AA444" s="41"/>
      <c r="AB444" s="39"/>
      <c r="AC444" s="37" t="str">
        <f t="shared" si="54"/>
        <v/>
      </c>
    </row>
    <row r="445" spans="2:29" x14ac:dyDescent="0.25">
      <c r="B445" s="54">
        <v>439</v>
      </c>
      <c r="C445" s="168"/>
      <c r="D445" s="51"/>
      <c r="E445" s="29"/>
      <c r="F445" s="48"/>
      <c r="G445" s="29"/>
      <c r="H445" s="187"/>
      <c r="I445" s="187"/>
      <c r="J445" s="195"/>
      <c r="K445" s="86" t="str">
        <f t="shared" si="48"/>
        <v/>
      </c>
      <c r="L445" s="57" t="str">
        <f t="shared" si="55"/>
        <v/>
      </c>
      <c r="M445" s="186"/>
      <c r="N445" s="189"/>
      <c r="O445" s="190"/>
      <c r="P445" s="190" t="str">
        <f>IF(OR(ISBLANK(V445),COUNTBLANK(V445:$V$1048576)=ROWS(V445:$V$1048576)),"",$R$2*(1+SUM(V$7:V445)))</f>
        <v/>
      </c>
      <c r="Q445" s="191"/>
      <c r="R445" s="189"/>
      <c r="S445" s="53" t="str">
        <f t="shared" si="49"/>
        <v/>
      </c>
      <c r="T445" s="63" t="str">
        <f t="shared" si="50"/>
        <v/>
      </c>
      <c r="U445" s="64" t="str">
        <f>IF(OR(ISBLANK(Trades!R445), ISBLANK(Trades!H445), ISBLANK(Trades!I445)), "", IF(Trades!H445=Trades!I445, "N/A", (Trades!R445-Trades!H445)/(Trades!H445-Trades!I445)))</f>
        <v/>
      </c>
      <c r="V445" s="65" t="str">
        <f t="shared" si="51"/>
        <v/>
      </c>
      <c r="W445" s="66" t="str">
        <f t="shared" si="52"/>
        <v/>
      </c>
      <c r="X445" s="62" t="str">
        <f t="shared" si="53"/>
        <v/>
      </c>
      <c r="Y445" s="45"/>
      <c r="Z445" s="44"/>
      <c r="AA445" s="41"/>
      <c r="AB445" s="39"/>
      <c r="AC445" s="37" t="str">
        <f t="shared" si="54"/>
        <v/>
      </c>
    </row>
    <row r="446" spans="2:29" x14ac:dyDescent="0.25">
      <c r="B446" s="54">
        <v>440</v>
      </c>
      <c r="C446" s="168"/>
      <c r="D446" s="51"/>
      <c r="E446" s="29"/>
      <c r="F446" s="48"/>
      <c r="G446" s="29"/>
      <c r="H446" s="187"/>
      <c r="I446" s="187"/>
      <c r="J446" s="195"/>
      <c r="K446" s="86" t="str">
        <f t="shared" si="48"/>
        <v/>
      </c>
      <c r="L446" s="57" t="str">
        <f t="shared" si="55"/>
        <v/>
      </c>
      <c r="M446" s="186"/>
      <c r="N446" s="189"/>
      <c r="O446" s="190"/>
      <c r="P446" s="190" t="str">
        <f>IF(OR(ISBLANK(V446),COUNTBLANK(V446:$V$1048576)=ROWS(V446:$V$1048576)),"",$R$2*(1+SUM(V$7:V446)))</f>
        <v/>
      </c>
      <c r="Q446" s="191"/>
      <c r="R446" s="189"/>
      <c r="S446" s="53" t="str">
        <f t="shared" si="49"/>
        <v/>
      </c>
      <c r="T446" s="63" t="str">
        <f t="shared" si="50"/>
        <v/>
      </c>
      <c r="U446" s="64" t="str">
        <f>IF(OR(ISBLANK(Trades!R446), ISBLANK(Trades!H446), ISBLANK(Trades!I446)), "", IF(Trades!H446=Trades!I446, "N/A", (Trades!R446-Trades!H446)/(Trades!H446-Trades!I446)))</f>
        <v/>
      </c>
      <c r="V446" s="65" t="str">
        <f t="shared" si="51"/>
        <v/>
      </c>
      <c r="W446" s="66" t="str">
        <f t="shared" si="52"/>
        <v/>
      </c>
      <c r="X446" s="62" t="str">
        <f t="shared" si="53"/>
        <v/>
      </c>
      <c r="Y446" s="45"/>
      <c r="Z446" s="44"/>
      <c r="AA446" s="41"/>
      <c r="AB446" s="39"/>
      <c r="AC446" s="37" t="str">
        <f t="shared" si="54"/>
        <v/>
      </c>
    </row>
    <row r="447" spans="2:29" x14ac:dyDescent="0.25">
      <c r="B447" s="54">
        <v>441</v>
      </c>
      <c r="C447" s="168"/>
      <c r="D447" s="51"/>
      <c r="E447" s="29"/>
      <c r="F447" s="48"/>
      <c r="G447" s="29"/>
      <c r="H447" s="187"/>
      <c r="I447" s="187"/>
      <c r="J447" s="195"/>
      <c r="K447" s="86" t="str">
        <f t="shared" si="48"/>
        <v/>
      </c>
      <c r="L447" s="57" t="str">
        <f t="shared" si="55"/>
        <v/>
      </c>
      <c r="M447" s="186"/>
      <c r="N447" s="189"/>
      <c r="O447" s="190"/>
      <c r="P447" s="190" t="str">
        <f>IF(OR(ISBLANK(V447),COUNTBLANK(V447:$V$1048576)=ROWS(V447:$V$1048576)),"",$R$2*(1+SUM(V$7:V447)))</f>
        <v/>
      </c>
      <c r="Q447" s="191"/>
      <c r="R447" s="189"/>
      <c r="S447" s="53" t="str">
        <f t="shared" si="49"/>
        <v/>
      </c>
      <c r="T447" s="63" t="str">
        <f t="shared" si="50"/>
        <v/>
      </c>
      <c r="U447" s="64" t="str">
        <f>IF(OR(ISBLANK(Trades!R447), ISBLANK(Trades!H447), ISBLANK(Trades!I447)), "", IF(Trades!H447=Trades!I447, "N/A", (Trades!R447-Trades!H447)/(Trades!H447-Trades!I447)))</f>
        <v/>
      </c>
      <c r="V447" s="65" t="str">
        <f t="shared" si="51"/>
        <v/>
      </c>
      <c r="W447" s="66" t="str">
        <f t="shared" si="52"/>
        <v/>
      </c>
      <c r="X447" s="62" t="str">
        <f t="shared" si="53"/>
        <v/>
      </c>
      <c r="Y447" s="45"/>
      <c r="Z447" s="44"/>
      <c r="AA447" s="41"/>
      <c r="AB447" s="39"/>
      <c r="AC447" s="37" t="str">
        <f t="shared" si="54"/>
        <v/>
      </c>
    </row>
    <row r="448" spans="2:29" x14ac:dyDescent="0.25">
      <c r="B448" s="54">
        <v>442</v>
      </c>
      <c r="C448" s="168"/>
      <c r="D448" s="51"/>
      <c r="E448" s="29"/>
      <c r="F448" s="48"/>
      <c r="G448" s="29"/>
      <c r="H448" s="187"/>
      <c r="I448" s="187"/>
      <c r="J448" s="195"/>
      <c r="K448" s="86" t="str">
        <f t="shared" si="48"/>
        <v/>
      </c>
      <c r="L448" s="57" t="str">
        <f t="shared" si="55"/>
        <v/>
      </c>
      <c r="M448" s="186"/>
      <c r="N448" s="189"/>
      <c r="O448" s="190"/>
      <c r="P448" s="190" t="str">
        <f>IF(OR(ISBLANK(V448),COUNTBLANK(V448:$V$1048576)=ROWS(V448:$V$1048576)),"",$R$2*(1+SUM(V$7:V448)))</f>
        <v/>
      </c>
      <c r="Q448" s="191"/>
      <c r="R448" s="189"/>
      <c r="S448" s="53" t="str">
        <f t="shared" si="49"/>
        <v/>
      </c>
      <c r="T448" s="63" t="str">
        <f t="shared" si="50"/>
        <v/>
      </c>
      <c r="U448" s="64" t="str">
        <f>IF(OR(ISBLANK(Trades!R448), ISBLANK(Trades!H448), ISBLANK(Trades!I448)), "", IF(Trades!H448=Trades!I448, "N/A", (Trades!R448-Trades!H448)/(Trades!H448-Trades!I448)))</f>
        <v/>
      </c>
      <c r="V448" s="65" t="str">
        <f t="shared" si="51"/>
        <v/>
      </c>
      <c r="W448" s="66" t="str">
        <f t="shared" si="52"/>
        <v/>
      </c>
      <c r="X448" s="62" t="str">
        <f t="shared" si="53"/>
        <v/>
      </c>
      <c r="Y448" s="45"/>
      <c r="Z448" s="44"/>
      <c r="AA448" s="41"/>
      <c r="AB448" s="39"/>
      <c r="AC448" s="37" t="str">
        <f t="shared" si="54"/>
        <v/>
      </c>
    </row>
    <row r="449" spans="2:29" x14ac:dyDescent="0.25">
      <c r="B449" s="54">
        <v>443</v>
      </c>
      <c r="C449" s="168"/>
      <c r="D449" s="51"/>
      <c r="E449" s="29"/>
      <c r="F449" s="48"/>
      <c r="G449" s="29"/>
      <c r="H449" s="187"/>
      <c r="I449" s="187"/>
      <c r="J449" s="195"/>
      <c r="K449" s="86" t="str">
        <f t="shared" si="48"/>
        <v/>
      </c>
      <c r="L449" s="57" t="str">
        <f t="shared" si="55"/>
        <v/>
      </c>
      <c r="M449" s="186"/>
      <c r="N449" s="189"/>
      <c r="O449" s="190"/>
      <c r="P449" s="190" t="str">
        <f>IF(OR(ISBLANK(V449),COUNTBLANK(V449:$V$1048576)=ROWS(V449:$V$1048576)),"",$R$2*(1+SUM(V$7:V449)))</f>
        <v/>
      </c>
      <c r="Q449" s="191"/>
      <c r="R449" s="189"/>
      <c r="S449" s="53" t="str">
        <f t="shared" si="49"/>
        <v/>
      </c>
      <c r="T449" s="63" t="str">
        <f t="shared" si="50"/>
        <v/>
      </c>
      <c r="U449" s="64" t="str">
        <f>IF(OR(ISBLANK(Trades!R449), ISBLANK(Trades!H449), ISBLANK(Trades!I449)), "", IF(Trades!H449=Trades!I449, "N/A", (Trades!R449-Trades!H449)/(Trades!H449-Trades!I449)))</f>
        <v/>
      </c>
      <c r="V449" s="65" t="str">
        <f t="shared" si="51"/>
        <v/>
      </c>
      <c r="W449" s="66" t="str">
        <f t="shared" si="52"/>
        <v/>
      </c>
      <c r="X449" s="62" t="str">
        <f t="shared" si="53"/>
        <v/>
      </c>
      <c r="Y449" s="45"/>
      <c r="Z449" s="44"/>
      <c r="AA449" s="41"/>
      <c r="AB449" s="39"/>
      <c r="AC449" s="37" t="str">
        <f t="shared" si="54"/>
        <v/>
      </c>
    </row>
    <row r="450" spans="2:29" x14ac:dyDescent="0.25">
      <c r="B450" s="54">
        <v>444</v>
      </c>
      <c r="C450" s="168"/>
      <c r="D450" s="51"/>
      <c r="E450" s="29"/>
      <c r="F450" s="48"/>
      <c r="G450" s="29"/>
      <c r="H450" s="187"/>
      <c r="I450" s="187"/>
      <c r="J450" s="195"/>
      <c r="K450" s="86" t="str">
        <f t="shared" si="48"/>
        <v/>
      </c>
      <c r="L450" s="57" t="str">
        <f t="shared" si="55"/>
        <v/>
      </c>
      <c r="M450" s="186"/>
      <c r="N450" s="189"/>
      <c r="O450" s="190"/>
      <c r="P450" s="190" t="str">
        <f>IF(OR(ISBLANK(V450),COUNTBLANK(V450:$V$1048576)=ROWS(V450:$V$1048576)),"",$R$2*(1+SUM(V$7:V450)))</f>
        <v/>
      </c>
      <c r="Q450" s="191"/>
      <c r="R450" s="189"/>
      <c r="S450" s="53" t="str">
        <f t="shared" si="49"/>
        <v/>
      </c>
      <c r="T450" s="63" t="str">
        <f t="shared" si="50"/>
        <v/>
      </c>
      <c r="U450" s="64" t="str">
        <f>IF(OR(ISBLANK(Trades!R450), ISBLANK(Trades!H450), ISBLANK(Trades!I450)), "", IF(Trades!H450=Trades!I450, "N/A", (Trades!R450-Trades!H450)/(Trades!H450-Trades!I450)))</f>
        <v/>
      </c>
      <c r="V450" s="65" t="str">
        <f t="shared" si="51"/>
        <v/>
      </c>
      <c r="W450" s="66" t="str">
        <f t="shared" si="52"/>
        <v/>
      </c>
      <c r="X450" s="62" t="str">
        <f t="shared" si="53"/>
        <v/>
      </c>
      <c r="Y450" s="45"/>
      <c r="Z450" s="44"/>
      <c r="AA450" s="41"/>
      <c r="AB450" s="39"/>
      <c r="AC450" s="37" t="str">
        <f t="shared" si="54"/>
        <v/>
      </c>
    </row>
    <row r="451" spans="2:29" x14ac:dyDescent="0.25">
      <c r="B451" s="54">
        <v>445</v>
      </c>
      <c r="C451" s="168"/>
      <c r="D451" s="51"/>
      <c r="E451" s="29"/>
      <c r="F451" s="48"/>
      <c r="G451" s="29"/>
      <c r="H451" s="187"/>
      <c r="I451" s="187"/>
      <c r="J451" s="195"/>
      <c r="K451" s="86" t="str">
        <f t="shared" si="48"/>
        <v/>
      </c>
      <c r="L451" s="57" t="str">
        <f t="shared" si="55"/>
        <v/>
      </c>
      <c r="M451" s="186"/>
      <c r="N451" s="189"/>
      <c r="O451" s="190"/>
      <c r="P451" s="190" t="str">
        <f>IF(OR(ISBLANK(V451),COUNTBLANK(V451:$V$1048576)=ROWS(V451:$V$1048576)),"",$R$2*(1+SUM(V$7:V451)))</f>
        <v/>
      </c>
      <c r="Q451" s="191"/>
      <c r="R451" s="189"/>
      <c r="S451" s="53" t="str">
        <f t="shared" si="49"/>
        <v/>
      </c>
      <c r="T451" s="63" t="str">
        <f t="shared" si="50"/>
        <v/>
      </c>
      <c r="U451" s="64" t="str">
        <f>IF(OR(ISBLANK(Trades!R451), ISBLANK(Trades!H451), ISBLANK(Trades!I451)), "", IF(Trades!H451=Trades!I451, "N/A", (Trades!R451-Trades!H451)/(Trades!H451-Trades!I451)))</f>
        <v/>
      </c>
      <c r="V451" s="65" t="str">
        <f t="shared" si="51"/>
        <v/>
      </c>
      <c r="W451" s="66" t="str">
        <f t="shared" si="52"/>
        <v/>
      </c>
      <c r="X451" s="62" t="str">
        <f t="shared" si="53"/>
        <v/>
      </c>
      <c r="Y451" s="45"/>
      <c r="Z451" s="44"/>
      <c r="AA451" s="41"/>
      <c r="AB451" s="39"/>
      <c r="AC451" s="37" t="str">
        <f t="shared" si="54"/>
        <v/>
      </c>
    </row>
    <row r="452" spans="2:29" x14ac:dyDescent="0.25">
      <c r="B452" s="54">
        <v>446</v>
      </c>
      <c r="C452" s="168"/>
      <c r="D452" s="51"/>
      <c r="E452" s="29"/>
      <c r="F452" s="48"/>
      <c r="G452" s="29"/>
      <c r="H452" s="187"/>
      <c r="I452" s="187"/>
      <c r="J452" s="195"/>
      <c r="K452" s="86" t="str">
        <f t="shared" si="48"/>
        <v/>
      </c>
      <c r="L452" s="57" t="str">
        <f t="shared" si="55"/>
        <v/>
      </c>
      <c r="M452" s="186"/>
      <c r="N452" s="189"/>
      <c r="O452" s="190"/>
      <c r="P452" s="190" t="str">
        <f>IF(OR(ISBLANK(V452),COUNTBLANK(V452:$V$1048576)=ROWS(V452:$V$1048576)),"",$R$2*(1+SUM(V$7:V452)))</f>
        <v/>
      </c>
      <c r="Q452" s="191"/>
      <c r="R452" s="189"/>
      <c r="S452" s="53" t="str">
        <f t="shared" si="49"/>
        <v/>
      </c>
      <c r="T452" s="63" t="str">
        <f t="shared" si="50"/>
        <v/>
      </c>
      <c r="U452" s="64" t="str">
        <f>IF(OR(ISBLANK(Trades!R452), ISBLANK(Trades!H452), ISBLANK(Trades!I452)), "", IF(Trades!H452=Trades!I452, "N/A", (Trades!R452-Trades!H452)/(Trades!H452-Trades!I452)))</f>
        <v/>
      </c>
      <c r="V452" s="65" t="str">
        <f t="shared" si="51"/>
        <v/>
      </c>
      <c r="W452" s="66" t="str">
        <f t="shared" si="52"/>
        <v/>
      </c>
      <c r="X452" s="62" t="str">
        <f t="shared" si="53"/>
        <v/>
      </c>
      <c r="Y452" s="45"/>
      <c r="Z452" s="44"/>
      <c r="AA452" s="41"/>
      <c r="AB452" s="39"/>
      <c r="AC452" s="37" t="str">
        <f t="shared" si="54"/>
        <v/>
      </c>
    </row>
    <row r="453" spans="2:29" x14ac:dyDescent="0.25">
      <c r="B453" s="54">
        <v>447</v>
      </c>
      <c r="C453" s="168"/>
      <c r="D453" s="51"/>
      <c r="E453" s="29"/>
      <c r="F453" s="48"/>
      <c r="G453" s="29"/>
      <c r="H453" s="187"/>
      <c r="I453" s="187"/>
      <c r="J453" s="195"/>
      <c r="K453" s="86" t="str">
        <f t="shared" si="48"/>
        <v/>
      </c>
      <c r="L453" s="57" t="str">
        <f t="shared" si="55"/>
        <v/>
      </c>
      <c r="M453" s="186"/>
      <c r="N453" s="189"/>
      <c r="O453" s="190"/>
      <c r="P453" s="190" t="str">
        <f>IF(OR(ISBLANK(V453),COUNTBLANK(V453:$V$1048576)=ROWS(V453:$V$1048576)),"",$R$2*(1+SUM(V$7:V453)))</f>
        <v/>
      </c>
      <c r="Q453" s="191"/>
      <c r="R453" s="189"/>
      <c r="S453" s="53" t="str">
        <f t="shared" si="49"/>
        <v/>
      </c>
      <c r="T453" s="63" t="str">
        <f t="shared" si="50"/>
        <v/>
      </c>
      <c r="U453" s="64" t="str">
        <f>IF(OR(ISBLANK(Trades!R453), ISBLANK(Trades!H453), ISBLANK(Trades!I453)), "", IF(Trades!H453=Trades!I453, "N/A", (Trades!R453-Trades!H453)/(Trades!H453-Trades!I453)))</f>
        <v/>
      </c>
      <c r="V453" s="65" t="str">
        <f t="shared" si="51"/>
        <v/>
      </c>
      <c r="W453" s="66" t="str">
        <f t="shared" si="52"/>
        <v/>
      </c>
      <c r="X453" s="62" t="str">
        <f t="shared" si="53"/>
        <v/>
      </c>
      <c r="Y453" s="45"/>
      <c r="Z453" s="44"/>
      <c r="AA453" s="41"/>
      <c r="AB453" s="39"/>
      <c r="AC453" s="37" t="str">
        <f t="shared" si="54"/>
        <v/>
      </c>
    </row>
    <row r="454" spans="2:29" x14ac:dyDescent="0.25">
      <c r="B454" s="54">
        <v>448</v>
      </c>
      <c r="C454" s="168"/>
      <c r="D454" s="51"/>
      <c r="E454" s="29"/>
      <c r="F454" s="48"/>
      <c r="G454" s="29"/>
      <c r="H454" s="187"/>
      <c r="I454" s="187"/>
      <c r="J454" s="195"/>
      <c r="K454" s="86" t="str">
        <f t="shared" si="48"/>
        <v/>
      </c>
      <c r="L454" s="57" t="str">
        <f t="shared" si="55"/>
        <v/>
      </c>
      <c r="M454" s="186"/>
      <c r="N454" s="189"/>
      <c r="O454" s="190"/>
      <c r="P454" s="190" t="str">
        <f>IF(OR(ISBLANK(V454),COUNTBLANK(V454:$V$1048576)=ROWS(V454:$V$1048576)),"",$R$2*(1+SUM(V$7:V454)))</f>
        <v/>
      </c>
      <c r="Q454" s="191"/>
      <c r="R454" s="189"/>
      <c r="S454" s="53" t="str">
        <f t="shared" si="49"/>
        <v/>
      </c>
      <c r="T454" s="63" t="str">
        <f t="shared" si="50"/>
        <v/>
      </c>
      <c r="U454" s="64" t="str">
        <f>IF(OR(ISBLANK(Trades!R454), ISBLANK(Trades!H454), ISBLANK(Trades!I454)), "", IF(Trades!H454=Trades!I454, "N/A", (Trades!R454-Trades!H454)/(Trades!H454-Trades!I454)))</f>
        <v/>
      </c>
      <c r="V454" s="65" t="str">
        <f t="shared" si="51"/>
        <v/>
      </c>
      <c r="W454" s="66" t="str">
        <f t="shared" si="52"/>
        <v/>
      </c>
      <c r="X454" s="62" t="str">
        <f t="shared" si="53"/>
        <v/>
      </c>
      <c r="Y454" s="45"/>
      <c r="Z454" s="44"/>
      <c r="AA454" s="41"/>
      <c r="AB454" s="39"/>
      <c r="AC454" s="37" t="str">
        <f t="shared" si="54"/>
        <v/>
      </c>
    </row>
    <row r="455" spans="2:29" x14ac:dyDescent="0.25">
      <c r="B455" s="54">
        <v>449</v>
      </c>
      <c r="C455" s="168"/>
      <c r="D455" s="51"/>
      <c r="E455" s="29"/>
      <c r="F455" s="48"/>
      <c r="G455" s="29"/>
      <c r="H455" s="187"/>
      <c r="I455" s="187"/>
      <c r="J455" s="195"/>
      <c r="K455" s="86" t="str">
        <f t="shared" ref="K455:K518" si="56">IF(OR(ISBLANK(H455),ISBLANK(I455)),"",IF(H455 &lt; I455, "SHORT", IF(H455 &gt; I455, "LONG", "")))</f>
        <v/>
      </c>
      <c r="L455" s="57" t="str">
        <f t="shared" si="55"/>
        <v/>
      </c>
      <c r="M455" s="186"/>
      <c r="N455" s="189"/>
      <c r="O455" s="190"/>
      <c r="P455" s="190" t="str">
        <f>IF(OR(ISBLANK(V455),COUNTBLANK(V455:$V$1048576)=ROWS(V455:$V$1048576)),"",$R$2*(1+SUM(V$7:V455)))</f>
        <v/>
      </c>
      <c r="Q455" s="191"/>
      <c r="R455" s="189"/>
      <c r="S455" s="53" t="str">
        <f t="shared" ref="S455:S518" si="57">IF(COUNTIFS($C$7:$C$1000, "&lt;="&amp;C455, $X$7:$X$1000, "Win") = 0, "", IF(COUNTIFS($C$7:$C$1000, "&lt;="&amp;C455, $X$7:$X$1000, "&lt;&gt;"&amp;"") = 0, "", COUNTIFS($C$7:$C$1000, "&lt;="&amp;C455, $X$7:$X$1000, "Win")/COUNTIFS($C$7:$C$1000, "&lt;="&amp;C455, $X$7:$X$1000, "&lt;&gt;"&amp;"")))</f>
        <v/>
      </c>
      <c r="T455" s="63" t="str">
        <f t="shared" ref="T455:T518" si="58">IF(ISBLANK(R455),IF(ISBLANK(H455),"","Open"),"Closed")</f>
        <v/>
      </c>
      <c r="U455" s="64" t="str">
        <f>IF(OR(ISBLANK(Trades!R455), ISBLANK(Trades!H455), ISBLANK(Trades!I455)), "", IF(Trades!H455=Trades!I455, "N/A", (Trades!R455-Trades!H455)/(Trades!H455-Trades!I455)))</f>
        <v/>
      </c>
      <c r="V455" s="65" t="str">
        <f t="shared" ref="V455:V518" si="59">IF(U455="","",U455*F455)</f>
        <v/>
      </c>
      <c r="W455" s="66" t="str">
        <f t="shared" ref="W455:W518" si="60">IF(ISBLANK(R455),"",IF(H455&gt;I455,IF(I455&gt;=R455,"SL Hit",IF(O455&lt;&gt;"","PT3 Hit",IF(N455&lt;&gt;"","PT2 Hit",IF(M455&lt;&gt;"","PT1 Hit","")))),IF(I455&lt;=R455,"SL Hit",IF(O455&lt;&gt;"","PT3 Hit",IF(N455&lt;&gt;"","PT2 Hit",IF(M455&lt;&gt;"","PT1 Hit",""))))))</f>
        <v/>
      </c>
      <c r="X455" s="62" t="str">
        <f t="shared" ref="X455:X518" si="61">IF(ISBLANK(R455),"",IF(H455&gt;I455, IF(R455&gt;=H455, "Win", "Loss"), IF(R455&lt;=H455, "Win", "Loss")))</f>
        <v/>
      </c>
      <c r="Y455" s="45"/>
      <c r="Z455" s="44"/>
      <c r="AA455" s="41"/>
      <c r="AB455" s="39"/>
      <c r="AC455" s="37" t="str">
        <f t="shared" ref="AC455:AC518" si="62">IFERROR(COUNTIFS($C$7:$C$1000,"&gt;="&amp;DATE(YEAR(C455),MONTH(C455),1),$C$7:$C$1000,"&lt;="&amp;EOMONTH(C455,0),$X$7:$X$1000,"Win")/COUNTIFS($C$7:$C$1000,"&gt;="&amp;DATE(YEAR(C455),MONTH(C455),1),$C$7:$C$1000,"&lt;="&amp;EOMONTH(C455,0)),"")</f>
        <v/>
      </c>
    </row>
    <row r="456" spans="2:29" x14ac:dyDescent="0.25">
      <c r="B456" s="54">
        <v>450</v>
      </c>
      <c r="C456" s="168"/>
      <c r="D456" s="51"/>
      <c r="E456" s="29"/>
      <c r="F456" s="48"/>
      <c r="G456" s="29"/>
      <c r="H456" s="187"/>
      <c r="I456" s="187"/>
      <c r="J456" s="195"/>
      <c r="K456" s="86" t="str">
        <f t="shared" si="56"/>
        <v/>
      </c>
      <c r="L456" s="57" t="str">
        <f t="shared" si="55"/>
        <v/>
      </c>
      <c r="M456" s="186"/>
      <c r="N456" s="189"/>
      <c r="O456" s="190"/>
      <c r="P456" s="190" t="str">
        <f>IF(OR(ISBLANK(V456),COUNTBLANK(V456:$V$1048576)=ROWS(V456:$V$1048576)),"",$R$2*(1+SUM(V$7:V456)))</f>
        <v/>
      </c>
      <c r="Q456" s="191"/>
      <c r="R456" s="189"/>
      <c r="S456" s="53" t="str">
        <f t="shared" si="57"/>
        <v/>
      </c>
      <c r="T456" s="63" t="str">
        <f t="shared" si="58"/>
        <v/>
      </c>
      <c r="U456" s="64" t="str">
        <f>IF(OR(ISBLANK(Trades!R456), ISBLANK(Trades!H456), ISBLANK(Trades!I456)), "", IF(Trades!H456=Trades!I456, "N/A", (Trades!R456-Trades!H456)/(Trades!H456-Trades!I456)))</f>
        <v/>
      </c>
      <c r="V456" s="65" t="str">
        <f t="shared" si="59"/>
        <v/>
      </c>
      <c r="W456" s="66" t="str">
        <f t="shared" si="60"/>
        <v/>
      </c>
      <c r="X456" s="62" t="str">
        <f t="shared" si="61"/>
        <v/>
      </c>
      <c r="Y456" s="45"/>
      <c r="Z456" s="44"/>
      <c r="AA456" s="41"/>
      <c r="AB456" s="39"/>
      <c r="AC456" s="37" t="str">
        <f t="shared" si="62"/>
        <v/>
      </c>
    </row>
    <row r="457" spans="2:29" x14ac:dyDescent="0.25">
      <c r="B457" s="54">
        <v>451</v>
      </c>
      <c r="C457" s="168"/>
      <c r="D457" s="51"/>
      <c r="E457" s="29"/>
      <c r="F457" s="48"/>
      <c r="G457" s="29"/>
      <c r="H457" s="187"/>
      <c r="I457" s="187"/>
      <c r="J457" s="195"/>
      <c r="K457" s="86" t="str">
        <f t="shared" si="56"/>
        <v/>
      </c>
      <c r="L457" s="57" t="str">
        <f t="shared" si="55"/>
        <v/>
      </c>
      <c r="M457" s="186"/>
      <c r="N457" s="189"/>
      <c r="O457" s="190"/>
      <c r="P457" s="190" t="str">
        <f>IF(OR(ISBLANK(V457),COUNTBLANK(V457:$V$1048576)=ROWS(V457:$V$1048576)),"",$R$2*(1+SUM(V$7:V457)))</f>
        <v/>
      </c>
      <c r="Q457" s="191"/>
      <c r="R457" s="189"/>
      <c r="S457" s="53" t="str">
        <f t="shared" si="57"/>
        <v/>
      </c>
      <c r="T457" s="63" t="str">
        <f t="shared" si="58"/>
        <v/>
      </c>
      <c r="U457" s="64" t="str">
        <f>IF(OR(ISBLANK(Trades!R457), ISBLANK(Trades!H457), ISBLANK(Trades!I457)), "", IF(Trades!H457=Trades!I457, "N/A", (Trades!R457-Trades!H457)/(Trades!H457-Trades!I457)))</f>
        <v/>
      </c>
      <c r="V457" s="65" t="str">
        <f t="shared" si="59"/>
        <v/>
      </c>
      <c r="W457" s="66" t="str">
        <f t="shared" si="60"/>
        <v/>
      </c>
      <c r="X457" s="62" t="str">
        <f t="shared" si="61"/>
        <v/>
      </c>
      <c r="Y457" s="45"/>
      <c r="Z457" s="44"/>
      <c r="AA457" s="41"/>
      <c r="AB457" s="39"/>
      <c r="AC457" s="37" t="str">
        <f t="shared" si="62"/>
        <v/>
      </c>
    </row>
    <row r="458" spans="2:29" x14ac:dyDescent="0.25">
      <c r="B458" s="54">
        <v>452</v>
      </c>
      <c r="C458" s="168"/>
      <c r="D458" s="51"/>
      <c r="E458" s="29"/>
      <c r="F458" s="48"/>
      <c r="G458" s="29"/>
      <c r="H458" s="187"/>
      <c r="I458" s="187"/>
      <c r="J458" s="195"/>
      <c r="K458" s="86" t="str">
        <f t="shared" si="56"/>
        <v/>
      </c>
      <c r="L458" s="57" t="str">
        <f t="shared" si="55"/>
        <v/>
      </c>
      <c r="M458" s="186"/>
      <c r="N458" s="189"/>
      <c r="O458" s="190"/>
      <c r="P458" s="190" t="str">
        <f>IF(OR(ISBLANK(V458),COUNTBLANK(V458:$V$1048576)=ROWS(V458:$V$1048576)),"",$R$2*(1+SUM(V$7:V458)))</f>
        <v/>
      </c>
      <c r="Q458" s="191"/>
      <c r="R458" s="189"/>
      <c r="S458" s="53" t="str">
        <f t="shared" si="57"/>
        <v/>
      </c>
      <c r="T458" s="63" t="str">
        <f t="shared" si="58"/>
        <v/>
      </c>
      <c r="U458" s="64" t="str">
        <f>IF(OR(ISBLANK(Trades!R458), ISBLANK(Trades!H458), ISBLANK(Trades!I458)), "", IF(Trades!H458=Trades!I458, "N/A", (Trades!R458-Trades!H458)/(Trades!H458-Trades!I458)))</f>
        <v/>
      </c>
      <c r="V458" s="65" t="str">
        <f t="shared" si="59"/>
        <v/>
      </c>
      <c r="W458" s="66" t="str">
        <f t="shared" si="60"/>
        <v/>
      </c>
      <c r="X458" s="62" t="str">
        <f t="shared" si="61"/>
        <v/>
      </c>
      <c r="Y458" s="45"/>
      <c r="Z458" s="44"/>
      <c r="AA458" s="41"/>
      <c r="AB458" s="39"/>
      <c r="AC458" s="37" t="str">
        <f t="shared" si="62"/>
        <v/>
      </c>
    </row>
    <row r="459" spans="2:29" x14ac:dyDescent="0.25">
      <c r="B459" s="54">
        <v>453</v>
      </c>
      <c r="C459" s="168"/>
      <c r="D459" s="51"/>
      <c r="E459" s="29"/>
      <c r="F459" s="48"/>
      <c r="G459" s="29"/>
      <c r="H459" s="187"/>
      <c r="I459" s="187"/>
      <c r="J459" s="195"/>
      <c r="K459" s="86" t="str">
        <f t="shared" si="56"/>
        <v/>
      </c>
      <c r="L459" s="57" t="str">
        <f t="shared" si="55"/>
        <v/>
      </c>
      <c r="M459" s="186"/>
      <c r="N459" s="189"/>
      <c r="O459" s="190"/>
      <c r="P459" s="190" t="str">
        <f>IF(OR(ISBLANK(V459),COUNTBLANK(V459:$V$1048576)=ROWS(V459:$V$1048576)),"",$R$2*(1+SUM(V$7:V459)))</f>
        <v/>
      </c>
      <c r="Q459" s="191"/>
      <c r="R459" s="189"/>
      <c r="S459" s="53" t="str">
        <f t="shared" si="57"/>
        <v/>
      </c>
      <c r="T459" s="63" t="str">
        <f t="shared" si="58"/>
        <v/>
      </c>
      <c r="U459" s="64" t="str">
        <f>IF(OR(ISBLANK(Trades!R459), ISBLANK(Trades!H459), ISBLANK(Trades!I459)), "", IF(Trades!H459=Trades!I459, "N/A", (Trades!R459-Trades!H459)/(Trades!H459-Trades!I459)))</f>
        <v/>
      </c>
      <c r="V459" s="65" t="str">
        <f t="shared" si="59"/>
        <v/>
      </c>
      <c r="W459" s="66" t="str">
        <f t="shared" si="60"/>
        <v/>
      </c>
      <c r="X459" s="62" t="str">
        <f t="shared" si="61"/>
        <v/>
      </c>
      <c r="Y459" s="45"/>
      <c r="Z459" s="44"/>
      <c r="AA459" s="41"/>
      <c r="AB459" s="39"/>
      <c r="AC459" s="37" t="str">
        <f t="shared" si="62"/>
        <v/>
      </c>
    </row>
    <row r="460" spans="2:29" x14ac:dyDescent="0.25">
      <c r="B460" s="54">
        <v>454</v>
      </c>
      <c r="C460" s="168"/>
      <c r="D460" s="51"/>
      <c r="E460" s="29"/>
      <c r="F460" s="48"/>
      <c r="G460" s="29"/>
      <c r="H460" s="187"/>
      <c r="I460" s="187"/>
      <c r="J460" s="195"/>
      <c r="K460" s="86" t="str">
        <f t="shared" si="56"/>
        <v/>
      </c>
      <c r="L460" s="57" t="str">
        <f t="shared" ref="L460:L523" si="63">IF(OR(ISBLANK(J460),ISBLANK(H460),ISBLANK(I460)),"",ABS(J460-H460)/ABS(H460-I460))</f>
        <v/>
      </c>
      <c r="M460" s="186"/>
      <c r="N460" s="189"/>
      <c r="O460" s="190"/>
      <c r="P460" s="190" t="str">
        <f>IF(OR(ISBLANK(V460),COUNTBLANK(V460:$V$1048576)=ROWS(V460:$V$1048576)),"",$R$2*(1+SUM(V$7:V460)))</f>
        <v/>
      </c>
      <c r="Q460" s="191"/>
      <c r="R460" s="189"/>
      <c r="S460" s="53" t="str">
        <f t="shared" si="57"/>
        <v/>
      </c>
      <c r="T460" s="63" t="str">
        <f t="shared" si="58"/>
        <v/>
      </c>
      <c r="U460" s="64" t="str">
        <f>IF(OR(ISBLANK(Trades!R460), ISBLANK(Trades!H460), ISBLANK(Trades!I460)), "", IF(Trades!H460=Trades!I460, "N/A", (Trades!R460-Trades!H460)/(Trades!H460-Trades!I460)))</f>
        <v/>
      </c>
      <c r="V460" s="65" t="str">
        <f t="shared" si="59"/>
        <v/>
      </c>
      <c r="W460" s="66" t="str">
        <f t="shared" si="60"/>
        <v/>
      </c>
      <c r="X460" s="62" t="str">
        <f t="shared" si="61"/>
        <v/>
      </c>
      <c r="Y460" s="45"/>
      <c r="Z460" s="44"/>
      <c r="AA460" s="41"/>
      <c r="AB460" s="39"/>
      <c r="AC460" s="37" t="str">
        <f t="shared" si="62"/>
        <v/>
      </c>
    </row>
    <row r="461" spans="2:29" x14ac:dyDescent="0.25">
      <c r="B461" s="54">
        <v>455</v>
      </c>
      <c r="C461" s="168"/>
      <c r="D461" s="51"/>
      <c r="E461" s="29"/>
      <c r="F461" s="48"/>
      <c r="G461" s="29"/>
      <c r="H461" s="187"/>
      <c r="I461" s="187"/>
      <c r="J461" s="195"/>
      <c r="K461" s="86" t="str">
        <f t="shared" si="56"/>
        <v/>
      </c>
      <c r="L461" s="57" t="str">
        <f t="shared" si="63"/>
        <v/>
      </c>
      <c r="M461" s="186"/>
      <c r="N461" s="189"/>
      <c r="O461" s="190"/>
      <c r="P461" s="190" t="str">
        <f>IF(OR(ISBLANK(V461),COUNTBLANK(V461:$V$1048576)=ROWS(V461:$V$1048576)),"",$R$2*(1+SUM(V$7:V461)))</f>
        <v/>
      </c>
      <c r="Q461" s="191"/>
      <c r="R461" s="189"/>
      <c r="S461" s="53" t="str">
        <f t="shared" si="57"/>
        <v/>
      </c>
      <c r="T461" s="63" t="str">
        <f t="shared" si="58"/>
        <v/>
      </c>
      <c r="U461" s="64" t="str">
        <f>IF(OR(ISBLANK(Trades!R461), ISBLANK(Trades!H461), ISBLANK(Trades!I461)), "", IF(Trades!H461=Trades!I461, "N/A", (Trades!R461-Trades!H461)/(Trades!H461-Trades!I461)))</f>
        <v/>
      </c>
      <c r="V461" s="65" t="str">
        <f t="shared" si="59"/>
        <v/>
      </c>
      <c r="W461" s="66" t="str">
        <f t="shared" si="60"/>
        <v/>
      </c>
      <c r="X461" s="62" t="str">
        <f t="shared" si="61"/>
        <v/>
      </c>
      <c r="Y461" s="45"/>
      <c r="Z461" s="44"/>
      <c r="AA461" s="41"/>
      <c r="AB461" s="39"/>
      <c r="AC461" s="37" t="str">
        <f t="shared" si="62"/>
        <v/>
      </c>
    </row>
    <row r="462" spans="2:29" x14ac:dyDescent="0.25">
      <c r="B462" s="54">
        <v>456</v>
      </c>
      <c r="C462" s="168"/>
      <c r="D462" s="51"/>
      <c r="E462" s="29"/>
      <c r="F462" s="48"/>
      <c r="G462" s="29"/>
      <c r="H462" s="187"/>
      <c r="I462" s="187"/>
      <c r="J462" s="195"/>
      <c r="K462" s="86" t="str">
        <f t="shared" si="56"/>
        <v/>
      </c>
      <c r="L462" s="57" t="str">
        <f t="shared" si="63"/>
        <v/>
      </c>
      <c r="M462" s="186"/>
      <c r="N462" s="189"/>
      <c r="O462" s="190"/>
      <c r="P462" s="190" t="str">
        <f>IF(OR(ISBLANK(V462),COUNTBLANK(V462:$V$1048576)=ROWS(V462:$V$1048576)),"",$R$2*(1+SUM(V$7:V462)))</f>
        <v/>
      </c>
      <c r="Q462" s="191"/>
      <c r="R462" s="189"/>
      <c r="S462" s="53" t="str">
        <f t="shared" si="57"/>
        <v/>
      </c>
      <c r="T462" s="63" t="str">
        <f t="shared" si="58"/>
        <v/>
      </c>
      <c r="U462" s="64" t="str">
        <f>IF(OR(ISBLANK(Trades!R462), ISBLANK(Trades!H462), ISBLANK(Trades!I462)), "", IF(Trades!H462=Trades!I462, "N/A", (Trades!R462-Trades!H462)/(Trades!H462-Trades!I462)))</f>
        <v/>
      </c>
      <c r="V462" s="65" t="str">
        <f t="shared" si="59"/>
        <v/>
      </c>
      <c r="W462" s="66" t="str">
        <f t="shared" si="60"/>
        <v/>
      </c>
      <c r="X462" s="62" t="str">
        <f t="shared" si="61"/>
        <v/>
      </c>
      <c r="Y462" s="45"/>
      <c r="Z462" s="44"/>
      <c r="AA462" s="41"/>
      <c r="AB462" s="39"/>
      <c r="AC462" s="37" t="str">
        <f t="shared" si="62"/>
        <v/>
      </c>
    </row>
    <row r="463" spans="2:29" x14ac:dyDescent="0.25">
      <c r="B463" s="54">
        <v>457</v>
      </c>
      <c r="C463" s="168"/>
      <c r="D463" s="51"/>
      <c r="E463" s="29"/>
      <c r="F463" s="48"/>
      <c r="G463" s="29"/>
      <c r="H463" s="187"/>
      <c r="I463" s="187"/>
      <c r="J463" s="195"/>
      <c r="K463" s="86" t="str">
        <f t="shared" si="56"/>
        <v/>
      </c>
      <c r="L463" s="57" t="str">
        <f t="shared" si="63"/>
        <v/>
      </c>
      <c r="M463" s="186"/>
      <c r="N463" s="189"/>
      <c r="O463" s="190"/>
      <c r="P463" s="190" t="str">
        <f>IF(OR(ISBLANK(V463),COUNTBLANK(V463:$V$1048576)=ROWS(V463:$V$1048576)),"",$R$2*(1+SUM(V$7:V463)))</f>
        <v/>
      </c>
      <c r="Q463" s="191"/>
      <c r="R463" s="189"/>
      <c r="S463" s="53" t="str">
        <f t="shared" si="57"/>
        <v/>
      </c>
      <c r="T463" s="63" t="str">
        <f t="shared" si="58"/>
        <v/>
      </c>
      <c r="U463" s="64" t="str">
        <f>IF(OR(ISBLANK(Trades!R463), ISBLANK(Trades!H463), ISBLANK(Trades!I463)), "", IF(Trades!H463=Trades!I463, "N/A", (Trades!R463-Trades!H463)/(Trades!H463-Trades!I463)))</f>
        <v/>
      </c>
      <c r="V463" s="65" t="str">
        <f t="shared" si="59"/>
        <v/>
      </c>
      <c r="W463" s="66" t="str">
        <f t="shared" si="60"/>
        <v/>
      </c>
      <c r="X463" s="62" t="str">
        <f t="shared" si="61"/>
        <v/>
      </c>
      <c r="Y463" s="45"/>
      <c r="Z463" s="44"/>
      <c r="AA463" s="41"/>
      <c r="AB463" s="39"/>
      <c r="AC463" s="37" t="str">
        <f t="shared" si="62"/>
        <v/>
      </c>
    </row>
    <row r="464" spans="2:29" x14ac:dyDescent="0.25">
      <c r="B464" s="54">
        <v>458</v>
      </c>
      <c r="C464" s="168"/>
      <c r="D464" s="51"/>
      <c r="E464" s="29"/>
      <c r="F464" s="48"/>
      <c r="G464" s="29"/>
      <c r="H464" s="187"/>
      <c r="I464" s="187"/>
      <c r="J464" s="195"/>
      <c r="K464" s="86" t="str">
        <f t="shared" si="56"/>
        <v/>
      </c>
      <c r="L464" s="57" t="str">
        <f t="shared" si="63"/>
        <v/>
      </c>
      <c r="M464" s="186"/>
      <c r="N464" s="189"/>
      <c r="O464" s="190"/>
      <c r="P464" s="190" t="str">
        <f>IF(OR(ISBLANK(V464),COUNTBLANK(V464:$V$1048576)=ROWS(V464:$V$1048576)),"",$R$2*(1+SUM(V$7:V464)))</f>
        <v/>
      </c>
      <c r="Q464" s="191"/>
      <c r="R464" s="189"/>
      <c r="S464" s="53" t="str">
        <f t="shared" si="57"/>
        <v/>
      </c>
      <c r="T464" s="63" t="str">
        <f t="shared" si="58"/>
        <v/>
      </c>
      <c r="U464" s="64" t="str">
        <f>IF(OR(ISBLANK(Trades!R464), ISBLANK(Trades!H464), ISBLANK(Trades!I464)), "", IF(Trades!H464=Trades!I464, "N/A", (Trades!R464-Trades!H464)/(Trades!H464-Trades!I464)))</f>
        <v/>
      </c>
      <c r="V464" s="65" t="str">
        <f t="shared" si="59"/>
        <v/>
      </c>
      <c r="W464" s="66" t="str">
        <f t="shared" si="60"/>
        <v/>
      </c>
      <c r="X464" s="62" t="str">
        <f t="shared" si="61"/>
        <v/>
      </c>
      <c r="Y464" s="45"/>
      <c r="Z464" s="44"/>
      <c r="AA464" s="41"/>
      <c r="AB464" s="39"/>
      <c r="AC464" s="37" t="str">
        <f t="shared" si="62"/>
        <v/>
      </c>
    </row>
    <row r="465" spans="2:29" x14ac:dyDescent="0.25">
      <c r="B465" s="54">
        <v>459</v>
      </c>
      <c r="C465" s="168"/>
      <c r="D465" s="51"/>
      <c r="E465" s="29"/>
      <c r="F465" s="48"/>
      <c r="G465" s="29"/>
      <c r="H465" s="187"/>
      <c r="I465" s="187"/>
      <c r="J465" s="195"/>
      <c r="K465" s="86" t="str">
        <f t="shared" si="56"/>
        <v/>
      </c>
      <c r="L465" s="57" t="str">
        <f t="shared" si="63"/>
        <v/>
      </c>
      <c r="M465" s="186"/>
      <c r="N465" s="189"/>
      <c r="O465" s="190"/>
      <c r="P465" s="190" t="str">
        <f>IF(OR(ISBLANK(V465),COUNTBLANK(V465:$V$1048576)=ROWS(V465:$V$1048576)),"",$R$2*(1+SUM(V$7:V465)))</f>
        <v/>
      </c>
      <c r="Q465" s="191"/>
      <c r="R465" s="189"/>
      <c r="S465" s="53" t="str">
        <f t="shared" si="57"/>
        <v/>
      </c>
      <c r="T465" s="63" t="str">
        <f t="shared" si="58"/>
        <v/>
      </c>
      <c r="U465" s="64" t="str">
        <f>IF(OR(ISBLANK(Trades!R465), ISBLANK(Trades!H465), ISBLANK(Trades!I465)), "", IF(Trades!H465=Trades!I465, "N/A", (Trades!R465-Trades!H465)/(Trades!H465-Trades!I465)))</f>
        <v/>
      </c>
      <c r="V465" s="65" t="str">
        <f t="shared" si="59"/>
        <v/>
      </c>
      <c r="W465" s="66" t="str">
        <f t="shared" si="60"/>
        <v/>
      </c>
      <c r="X465" s="62" t="str">
        <f t="shared" si="61"/>
        <v/>
      </c>
      <c r="Y465" s="45"/>
      <c r="Z465" s="44"/>
      <c r="AA465" s="41"/>
      <c r="AB465" s="39"/>
      <c r="AC465" s="37" t="str">
        <f t="shared" si="62"/>
        <v/>
      </c>
    </row>
    <row r="466" spans="2:29" x14ac:dyDescent="0.25">
      <c r="B466" s="54">
        <v>460</v>
      </c>
      <c r="C466" s="168"/>
      <c r="D466" s="51"/>
      <c r="E466" s="29"/>
      <c r="F466" s="48"/>
      <c r="G466" s="29"/>
      <c r="H466" s="187"/>
      <c r="I466" s="187"/>
      <c r="J466" s="195"/>
      <c r="K466" s="86" t="str">
        <f t="shared" si="56"/>
        <v/>
      </c>
      <c r="L466" s="57" t="str">
        <f t="shared" si="63"/>
        <v/>
      </c>
      <c r="M466" s="186"/>
      <c r="N466" s="189"/>
      <c r="O466" s="190"/>
      <c r="P466" s="190" t="str">
        <f>IF(OR(ISBLANK(V466),COUNTBLANK(V466:$V$1048576)=ROWS(V466:$V$1048576)),"",$R$2*(1+SUM(V$7:V466)))</f>
        <v/>
      </c>
      <c r="Q466" s="191"/>
      <c r="R466" s="189"/>
      <c r="S466" s="53" t="str">
        <f t="shared" si="57"/>
        <v/>
      </c>
      <c r="T466" s="63" t="str">
        <f t="shared" si="58"/>
        <v/>
      </c>
      <c r="U466" s="64" t="str">
        <f>IF(OR(ISBLANK(Trades!R466), ISBLANK(Trades!H466), ISBLANK(Trades!I466)), "", IF(Trades!H466=Trades!I466, "N/A", (Trades!R466-Trades!H466)/(Trades!H466-Trades!I466)))</f>
        <v/>
      </c>
      <c r="V466" s="65" t="str">
        <f t="shared" si="59"/>
        <v/>
      </c>
      <c r="W466" s="66" t="str">
        <f t="shared" si="60"/>
        <v/>
      </c>
      <c r="X466" s="62" t="str">
        <f t="shared" si="61"/>
        <v/>
      </c>
      <c r="Y466" s="45"/>
      <c r="Z466" s="44"/>
      <c r="AA466" s="41"/>
      <c r="AB466" s="39"/>
      <c r="AC466" s="37" t="str">
        <f t="shared" si="62"/>
        <v/>
      </c>
    </row>
    <row r="467" spans="2:29" x14ac:dyDescent="0.25">
      <c r="B467" s="54">
        <v>461</v>
      </c>
      <c r="C467" s="168"/>
      <c r="D467" s="51"/>
      <c r="E467" s="29"/>
      <c r="F467" s="48"/>
      <c r="G467" s="29"/>
      <c r="H467" s="187"/>
      <c r="I467" s="187"/>
      <c r="J467" s="195"/>
      <c r="K467" s="86" t="str">
        <f t="shared" si="56"/>
        <v/>
      </c>
      <c r="L467" s="57" t="str">
        <f t="shared" si="63"/>
        <v/>
      </c>
      <c r="M467" s="186"/>
      <c r="N467" s="189"/>
      <c r="O467" s="190"/>
      <c r="P467" s="190" t="str">
        <f>IF(OR(ISBLANK(V467),COUNTBLANK(V467:$V$1048576)=ROWS(V467:$V$1048576)),"",$R$2*(1+SUM(V$7:V467)))</f>
        <v/>
      </c>
      <c r="Q467" s="191"/>
      <c r="R467" s="189"/>
      <c r="S467" s="53" t="str">
        <f t="shared" si="57"/>
        <v/>
      </c>
      <c r="T467" s="63" t="str">
        <f t="shared" si="58"/>
        <v/>
      </c>
      <c r="U467" s="64" t="str">
        <f>IF(OR(ISBLANK(Trades!R467), ISBLANK(Trades!H467), ISBLANK(Trades!I467)), "", IF(Trades!H467=Trades!I467, "N/A", (Trades!R467-Trades!H467)/(Trades!H467-Trades!I467)))</f>
        <v/>
      </c>
      <c r="V467" s="65" t="str">
        <f t="shared" si="59"/>
        <v/>
      </c>
      <c r="W467" s="66" t="str">
        <f t="shared" si="60"/>
        <v/>
      </c>
      <c r="X467" s="62" t="str">
        <f t="shared" si="61"/>
        <v/>
      </c>
      <c r="Y467" s="45"/>
      <c r="Z467" s="44"/>
      <c r="AA467" s="41"/>
      <c r="AB467" s="39"/>
      <c r="AC467" s="37" t="str">
        <f t="shared" si="62"/>
        <v/>
      </c>
    </row>
    <row r="468" spans="2:29" x14ac:dyDescent="0.25">
      <c r="B468" s="54">
        <v>462</v>
      </c>
      <c r="C468" s="168"/>
      <c r="D468" s="51"/>
      <c r="E468" s="29"/>
      <c r="F468" s="48"/>
      <c r="G468" s="29"/>
      <c r="H468" s="187"/>
      <c r="I468" s="187"/>
      <c r="J468" s="195"/>
      <c r="K468" s="86" t="str">
        <f t="shared" si="56"/>
        <v/>
      </c>
      <c r="L468" s="57" t="str">
        <f t="shared" si="63"/>
        <v/>
      </c>
      <c r="M468" s="186"/>
      <c r="N468" s="189"/>
      <c r="O468" s="190"/>
      <c r="P468" s="190" t="str">
        <f>IF(OR(ISBLANK(V468),COUNTBLANK(V468:$V$1048576)=ROWS(V468:$V$1048576)),"",$R$2*(1+SUM(V$7:V468)))</f>
        <v/>
      </c>
      <c r="Q468" s="191"/>
      <c r="R468" s="189"/>
      <c r="S468" s="53" t="str">
        <f t="shared" si="57"/>
        <v/>
      </c>
      <c r="T468" s="63" t="str">
        <f t="shared" si="58"/>
        <v/>
      </c>
      <c r="U468" s="64" t="str">
        <f>IF(OR(ISBLANK(Trades!R468), ISBLANK(Trades!H468), ISBLANK(Trades!I468)), "", IF(Trades!H468=Trades!I468, "N/A", (Trades!R468-Trades!H468)/(Trades!H468-Trades!I468)))</f>
        <v/>
      </c>
      <c r="V468" s="65" t="str">
        <f t="shared" si="59"/>
        <v/>
      </c>
      <c r="W468" s="66" t="str">
        <f t="shared" si="60"/>
        <v/>
      </c>
      <c r="X468" s="62" t="str">
        <f t="shared" si="61"/>
        <v/>
      </c>
      <c r="Y468" s="45"/>
      <c r="Z468" s="44"/>
      <c r="AA468" s="41"/>
      <c r="AB468" s="39"/>
      <c r="AC468" s="37" t="str">
        <f t="shared" si="62"/>
        <v/>
      </c>
    </row>
    <row r="469" spans="2:29" x14ac:dyDescent="0.25">
      <c r="B469" s="54">
        <v>463</v>
      </c>
      <c r="C469" s="168"/>
      <c r="D469" s="51"/>
      <c r="E469" s="29"/>
      <c r="F469" s="48"/>
      <c r="G469" s="29"/>
      <c r="H469" s="187"/>
      <c r="I469" s="187"/>
      <c r="J469" s="195"/>
      <c r="K469" s="86" t="str">
        <f t="shared" si="56"/>
        <v/>
      </c>
      <c r="L469" s="57" t="str">
        <f t="shared" si="63"/>
        <v/>
      </c>
      <c r="M469" s="186"/>
      <c r="N469" s="189"/>
      <c r="O469" s="190"/>
      <c r="P469" s="190" t="str">
        <f>IF(OR(ISBLANK(V469),COUNTBLANK(V469:$V$1048576)=ROWS(V469:$V$1048576)),"",$R$2*(1+SUM(V$7:V469)))</f>
        <v/>
      </c>
      <c r="Q469" s="191"/>
      <c r="R469" s="189"/>
      <c r="S469" s="53" t="str">
        <f t="shared" si="57"/>
        <v/>
      </c>
      <c r="T469" s="63" t="str">
        <f t="shared" si="58"/>
        <v/>
      </c>
      <c r="U469" s="64" t="str">
        <f>IF(OR(ISBLANK(Trades!R469), ISBLANK(Trades!H469), ISBLANK(Trades!I469)), "", IF(Trades!H469=Trades!I469, "N/A", (Trades!R469-Trades!H469)/(Trades!H469-Trades!I469)))</f>
        <v/>
      </c>
      <c r="V469" s="65" t="str">
        <f t="shared" si="59"/>
        <v/>
      </c>
      <c r="W469" s="66" t="str">
        <f t="shared" si="60"/>
        <v/>
      </c>
      <c r="X469" s="62" t="str">
        <f t="shared" si="61"/>
        <v/>
      </c>
      <c r="Y469" s="45"/>
      <c r="Z469" s="44"/>
      <c r="AA469" s="41"/>
      <c r="AB469" s="39"/>
      <c r="AC469" s="37" t="str">
        <f t="shared" si="62"/>
        <v/>
      </c>
    </row>
    <row r="470" spans="2:29" x14ac:dyDescent="0.25">
      <c r="B470" s="54">
        <v>464</v>
      </c>
      <c r="C470" s="168"/>
      <c r="D470" s="51"/>
      <c r="E470" s="29"/>
      <c r="F470" s="48"/>
      <c r="G470" s="29"/>
      <c r="H470" s="187"/>
      <c r="I470" s="187"/>
      <c r="J470" s="195"/>
      <c r="K470" s="86" t="str">
        <f t="shared" si="56"/>
        <v/>
      </c>
      <c r="L470" s="57" t="str">
        <f t="shared" si="63"/>
        <v/>
      </c>
      <c r="M470" s="186"/>
      <c r="N470" s="189"/>
      <c r="O470" s="190"/>
      <c r="P470" s="190" t="str">
        <f>IF(OR(ISBLANK(V470),COUNTBLANK(V470:$V$1048576)=ROWS(V470:$V$1048576)),"",$R$2*(1+SUM(V$7:V470)))</f>
        <v/>
      </c>
      <c r="Q470" s="191"/>
      <c r="R470" s="189"/>
      <c r="S470" s="53" t="str">
        <f t="shared" si="57"/>
        <v/>
      </c>
      <c r="T470" s="63" t="str">
        <f t="shared" si="58"/>
        <v/>
      </c>
      <c r="U470" s="64" t="str">
        <f>IF(OR(ISBLANK(Trades!R470), ISBLANK(Trades!H470), ISBLANK(Trades!I470)), "", IF(Trades!H470=Trades!I470, "N/A", (Trades!R470-Trades!H470)/(Trades!H470-Trades!I470)))</f>
        <v/>
      </c>
      <c r="V470" s="65" t="str">
        <f t="shared" si="59"/>
        <v/>
      </c>
      <c r="W470" s="66" t="str">
        <f t="shared" si="60"/>
        <v/>
      </c>
      <c r="X470" s="62" t="str">
        <f t="shared" si="61"/>
        <v/>
      </c>
      <c r="Y470" s="45"/>
      <c r="Z470" s="44"/>
      <c r="AA470" s="41"/>
      <c r="AB470" s="39"/>
      <c r="AC470" s="37" t="str">
        <f t="shared" si="62"/>
        <v/>
      </c>
    </row>
    <row r="471" spans="2:29" x14ac:dyDescent="0.25">
      <c r="B471" s="54">
        <v>465</v>
      </c>
      <c r="C471" s="168"/>
      <c r="D471" s="51"/>
      <c r="E471" s="29"/>
      <c r="F471" s="48"/>
      <c r="G471" s="29"/>
      <c r="H471" s="187"/>
      <c r="I471" s="187"/>
      <c r="J471" s="195"/>
      <c r="K471" s="86" t="str">
        <f t="shared" si="56"/>
        <v/>
      </c>
      <c r="L471" s="57" t="str">
        <f t="shared" si="63"/>
        <v/>
      </c>
      <c r="M471" s="186"/>
      <c r="N471" s="189"/>
      <c r="O471" s="190"/>
      <c r="P471" s="190" t="str">
        <f>IF(OR(ISBLANK(V471),COUNTBLANK(V471:$V$1048576)=ROWS(V471:$V$1048576)),"",$R$2*(1+SUM(V$7:V471)))</f>
        <v/>
      </c>
      <c r="Q471" s="191"/>
      <c r="R471" s="189"/>
      <c r="S471" s="53" t="str">
        <f t="shared" si="57"/>
        <v/>
      </c>
      <c r="T471" s="63" t="str">
        <f t="shared" si="58"/>
        <v/>
      </c>
      <c r="U471" s="64" t="str">
        <f>IF(OR(ISBLANK(Trades!R471), ISBLANK(Trades!H471), ISBLANK(Trades!I471)), "", IF(Trades!H471=Trades!I471, "N/A", (Trades!R471-Trades!H471)/(Trades!H471-Trades!I471)))</f>
        <v/>
      </c>
      <c r="V471" s="65" t="str">
        <f t="shared" si="59"/>
        <v/>
      </c>
      <c r="W471" s="66" t="str">
        <f t="shared" si="60"/>
        <v/>
      </c>
      <c r="X471" s="62" t="str">
        <f t="shared" si="61"/>
        <v/>
      </c>
      <c r="Y471" s="45"/>
      <c r="Z471" s="44"/>
      <c r="AA471" s="41"/>
      <c r="AB471" s="39"/>
      <c r="AC471" s="37" t="str">
        <f t="shared" si="62"/>
        <v/>
      </c>
    </row>
    <row r="472" spans="2:29" x14ac:dyDescent="0.25">
      <c r="B472" s="54">
        <v>466</v>
      </c>
      <c r="C472" s="168"/>
      <c r="D472" s="51"/>
      <c r="E472" s="29"/>
      <c r="F472" s="48"/>
      <c r="G472" s="29"/>
      <c r="H472" s="187"/>
      <c r="I472" s="187"/>
      <c r="J472" s="195"/>
      <c r="K472" s="86" t="str">
        <f t="shared" si="56"/>
        <v/>
      </c>
      <c r="L472" s="57" t="str">
        <f t="shared" si="63"/>
        <v/>
      </c>
      <c r="M472" s="186"/>
      <c r="N472" s="189"/>
      <c r="O472" s="190"/>
      <c r="P472" s="190" t="str">
        <f>IF(OR(ISBLANK(V472),COUNTBLANK(V472:$V$1048576)=ROWS(V472:$V$1048576)),"",$R$2*(1+SUM(V$7:V472)))</f>
        <v/>
      </c>
      <c r="Q472" s="191"/>
      <c r="R472" s="189"/>
      <c r="S472" s="53" t="str">
        <f t="shared" si="57"/>
        <v/>
      </c>
      <c r="T472" s="63" t="str">
        <f t="shared" si="58"/>
        <v/>
      </c>
      <c r="U472" s="64" t="str">
        <f>IF(OR(ISBLANK(Trades!R472), ISBLANK(Trades!H472), ISBLANK(Trades!I472)), "", IF(Trades!H472=Trades!I472, "N/A", (Trades!R472-Trades!H472)/(Trades!H472-Trades!I472)))</f>
        <v/>
      </c>
      <c r="V472" s="65" t="str">
        <f t="shared" si="59"/>
        <v/>
      </c>
      <c r="W472" s="66" t="str">
        <f t="shared" si="60"/>
        <v/>
      </c>
      <c r="X472" s="62" t="str">
        <f t="shared" si="61"/>
        <v/>
      </c>
      <c r="Y472" s="45"/>
      <c r="Z472" s="44"/>
      <c r="AA472" s="41"/>
      <c r="AB472" s="39"/>
      <c r="AC472" s="37" t="str">
        <f t="shared" si="62"/>
        <v/>
      </c>
    </row>
    <row r="473" spans="2:29" x14ac:dyDescent="0.25">
      <c r="B473" s="54">
        <v>467</v>
      </c>
      <c r="C473" s="168"/>
      <c r="D473" s="51"/>
      <c r="E473" s="29"/>
      <c r="F473" s="48"/>
      <c r="G473" s="29"/>
      <c r="H473" s="187"/>
      <c r="I473" s="187"/>
      <c r="J473" s="195"/>
      <c r="K473" s="86" t="str">
        <f t="shared" si="56"/>
        <v/>
      </c>
      <c r="L473" s="57" t="str">
        <f t="shared" si="63"/>
        <v/>
      </c>
      <c r="M473" s="186"/>
      <c r="N473" s="189"/>
      <c r="O473" s="190"/>
      <c r="P473" s="190" t="str">
        <f>IF(OR(ISBLANK(V473),COUNTBLANK(V473:$V$1048576)=ROWS(V473:$V$1048576)),"",$R$2*(1+SUM(V$7:V473)))</f>
        <v/>
      </c>
      <c r="Q473" s="191"/>
      <c r="R473" s="189"/>
      <c r="S473" s="53" t="str">
        <f t="shared" si="57"/>
        <v/>
      </c>
      <c r="T473" s="63" t="str">
        <f t="shared" si="58"/>
        <v/>
      </c>
      <c r="U473" s="64" t="str">
        <f>IF(OR(ISBLANK(Trades!R473), ISBLANK(Trades!H473), ISBLANK(Trades!I473)), "", IF(Trades!H473=Trades!I473, "N/A", (Trades!R473-Trades!H473)/(Trades!H473-Trades!I473)))</f>
        <v/>
      </c>
      <c r="V473" s="65" t="str">
        <f t="shared" si="59"/>
        <v/>
      </c>
      <c r="W473" s="66" t="str">
        <f t="shared" si="60"/>
        <v/>
      </c>
      <c r="X473" s="62" t="str">
        <f t="shared" si="61"/>
        <v/>
      </c>
      <c r="Y473" s="45"/>
      <c r="Z473" s="44"/>
      <c r="AA473" s="41"/>
      <c r="AB473" s="39"/>
      <c r="AC473" s="37" t="str">
        <f t="shared" si="62"/>
        <v/>
      </c>
    </row>
    <row r="474" spans="2:29" x14ac:dyDescent="0.25">
      <c r="B474" s="54">
        <v>468</v>
      </c>
      <c r="C474" s="168"/>
      <c r="D474" s="51"/>
      <c r="E474" s="29"/>
      <c r="F474" s="48"/>
      <c r="G474" s="29"/>
      <c r="H474" s="187"/>
      <c r="I474" s="187"/>
      <c r="J474" s="195"/>
      <c r="K474" s="86" t="str">
        <f t="shared" si="56"/>
        <v/>
      </c>
      <c r="L474" s="57" t="str">
        <f t="shared" si="63"/>
        <v/>
      </c>
      <c r="M474" s="186"/>
      <c r="N474" s="189"/>
      <c r="O474" s="190"/>
      <c r="P474" s="190" t="str">
        <f>IF(OR(ISBLANK(V474),COUNTBLANK(V474:$V$1048576)=ROWS(V474:$V$1048576)),"",$R$2*(1+SUM(V$7:V474)))</f>
        <v/>
      </c>
      <c r="Q474" s="191"/>
      <c r="R474" s="189"/>
      <c r="S474" s="53" t="str">
        <f t="shared" si="57"/>
        <v/>
      </c>
      <c r="T474" s="63" t="str">
        <f t="shared" si="58"/>
        <v/>
      </c>
      <c r="U474" s="64" t="str">
        <f>IF(OR(ISBLANK(Trades!R474), ISBLANK(Trades!H474), ISBLANK(Trades!I474)), "", IF(Trades!H474=Trades!I474, "N/A", (Trades!R474-Trades!H474)/(Trades!H474-Trades!I474)))</f>
        <v/>
      </c>
      <c r="V474" s="65" t="str">
        <f t="shared" si="59"/>
        <v/>
      </c>
      <c r="W474" s="66" t="str">
        <f t="shared" si="60"/>
        <v/>
      </c>
      <c r="X474" s="62" t="str">
        <f t="shared" si="61"/>
        <v/>
      </c>
      <c r="Y474" s="45"/>
      <c r="Z474" s="44"/>
      <c r="AA474" s="41"/>
      <c r="AB474" s="39"/>
      <c r="AC474" s="37" t="str">
        <f t="shared" si="62"/>
        <v/>
      </c>
    </row>
    <row r="475" spans="2:29" x14ac:dyDescent="0.25">
      <c r="B475" s="54">
        <v>469</v>
      </c>
      <c r="C475" s="168"/>
      <c r="D475" s="51"/>
      <c r="E475" s="29"/>
      <c r="F475" s="48"/>
      <c r="G475" s="29"/>
      <c r="H475" s="187"/>
      <c r="I475" s="187"/>
      <c r="J475" s="195"/>
      <c r="K475" s="86" t="str">
        <f t="shared" si="56"/>
        <v/>
      </c>
      <c r="L475" s="57" t="str">
        <f t="shared" si="63"/>
        <v/>
      </c>
      <c r="M475" s="186"/>
      <c r="N475" s="189"/>
      <c r="O475" s="190"/>
      <c r="P475" s="190" t="str">
        <f>IF(OR(ISBLANK(V475),COUNTBLANK(V475:$V$1048576)=ROWS(V475:$V$1048576)),"",$R$2*(1+SUM(V$7:V475)))</f>
        <v/>
      </c>
      <c r="Q475" s="191"/>
      <c r="R475" s="189"/>
      <c r="S475" s="53" t="str">
        <f t="shared" si="57"/>
        <v/>
      </c>
      <c r="T475" s="63" t="str">
        <f t="shared" si="58"/>
        <v/>
      </c>
      <c r="U475" s="64" t="str">
        <f>IF(OR(ISBLANK(Trades!R475), ISBLANK(Trades!H475), ISBLANK(Trades!I475)), "", IF(Trades!H475=Trades!I475, "N/A", (Trades!R475-Trades!H475)/(Trades!H475-Trades!I475)))</f>
        <v/>
      </c>
      <c r="V475" s="65" t="str">
        <f t="shared" si="59"/>
        <v/>
      </c>
      <c r="W475" s="66" t="str">
        <f t="shared" si="60"/>
        <v/>
      </c>
      <c r="X475" s="62" t="str">
        <f t="shared" si="61"/>
        <v/>
      </c>
      <c r="Y475" s="45"/>
      <c r="Z475" s="44"/>
      <c r="AA475" s="41"/>
      <c r="AB475" s="39"/>
      <c r="AC475" s="37" t="str">
        <f t="shared" si="62"/>
        <v/>
      </c>
    </row>
    <row r="476" spans="2:29" x14ac:dyDescent="0.25">
      <c r="B476" s="54">
        <v>470</v>
      </c>
      <c r="C476" s="168"/>
      <c r="D476" s="51"/>
      <c r="E476" s="29"/>
      <c r="F476" s="48"/>
      <c r="G476" s="29"/>
      <c r="H476" s="187"/>
      <c r="I476" s="187"/>
      <c r="J476" s="195"/>
      <c r="K476" s="86" t="str">
        <f t="shared" si="56"/>
        <v/>
      </c>
      <c r="L476" s="57" t="str">
        <f t="shared" si="63"/>
        <v/>
      </c>
      <c r="M476" s="186"/>
      <c r="N476" s="189"/>
      <c r="O476" s="190"/>
      <c r="P476" s="190" t="str">
        <f>IF(OR(ISBLANK(V476),COUNTBLANK(V476:$V$1048576)=ROWS(V476:$V$1048576)),"",$R$2*(1+SUM(V$7:V476)))</f>
        <v/>
      </c>
      <c r="Q476" s="191"/>
      <c r="R476" s="189"/>
      <c r="S476" s="53" t="str">
        <f t="shared" si="57"/>
        <v/>
      </c>
      <c r="T476" s="63" t="str">
        <f t="shared" si="58"/>
        <v/>
      </c>
      <c r="U476" s="64" t="str">
        <f>IF(OR(ISBLANK(Trades!R476), ISBLANK(Trades!H476), ISBLANK(Trades!I476)), "", IF(Trades!H476=Trades!I476, "N/A", (Trades!R476-Trades!H476)/(Trades!H476-Trades!I476)))</f>
        <v/>
      </c>
      <c r="V476" s="65" t="str">
        <f t="shared" si="59"/>
        <v/>
      </c>
      <c r="W476" s="66" t="str">
        <f t="shared" si="60"/>
        <v/>
      </c>
      <c r="X476" s="62" t="str">
        <f t="shared" si="61"/>
        <v/>
      </c>
      <c r="Y476" s="45"/>
      <c r="Z476" s="44"/>
      <c r="AA476" s="41"/>
      <c r="AB476" s="39"/>
      <c r="AC476" s="37" t="str">
        <f t="shared" si="62"/>
        <v/>
      </c>
    </row>
    <row r="477" spans="2:29" x14ac:dyDescent="0.25">
      <c r="B477" s="54">
        <v>471</v>
      </c>
      <c r="C477" s="168"/>
      <c r="D477" s="51"/>
      <c r="E477" s="29"/>
      <c r="F477" s="48"/>
      <c r="G477" s="29"/>
      <c r="H477" s="187"/>
      <c r="I477" s="187"/>
      <c r="J477" s="195"/>
      <c r="K477" s="86" t="str">
        <f t="shared" si="56"/>
        <v/>
      </c>
      <c r="L477" s="57" t="str">
        <f t="shared" si="63"/>
        <v/>
      </c>
      <c r="M477" s="186"/>
      <c r="N477" s="189"/>
      <c r="O477" s="190"/>
      <c r="P477" s="190" t="str">
        <f>IF(OR(ISBLANK(V477),COUNTBLANK(V477:$V$1048576)=ROWS(V477:$V$1048576)),"",$R$2*(1+SUM(V$7:V477)))</f>
        <v/>
      </c>
      <c r="Q477" s="191"/>
      <c r="R477" s="189"/>
      <c r="S477" s="53" t="str">
        <f t="shared" si="57"/>
        <v/>
      </c>
      <c r="T477" s="63" t="str">
        <f t="shared" si="58"/>
        <v/>
      </c>
      <c r="U477" s="64" t="str">
        <f>IF(OR(ISBLANK(Trades!R477), ISBLANK(Trades!H477), ISBLANK(Trades!I477)), "", IF(Trades!H477=Trades!I477, "N/A", (Trades!R477-Trades!H477)/(Trades!H477-Trades!I477)))</f>
        <v/>
      </c>
      <c r="V477" s="65" t="str">
        <f t="shared" si="59"/>
        <v/>
      </c>
      <c r="W477" s="66" t="str">
        <f t="shared" si="60"/>
        <v/>
      </c>
      <c r="X477" s="62" t="str">
        <f t="shared" si="61"/>
        <v/>
      </c>
      <c r="Y477" s="45"/>
      <c r="Z477" s="44"/>
      <c r="AA477" s="41"/>
      <c r="AB477" s="39"/>
      <c r="AC477" s="37" t="str">
        <f t="shared" si="62"/>
        <v/>
      </c>
    </row>
    <row r="478" spans="2:29" x14ac:dyDescent="0.25">
      <c r="B478" s="54">
        <v>472</v>
      </c>
      <c r="C478" s="168"/>
      <c r="D478" s="51"/>
      <c r="E478" s="29"/>
      <c r="F478" s="48"/>
      <c r="G478" s="29"/>
      <c r="H478" s="187"/>
      <c r="I478" s="187"/>
      <c r="J478" s="195"/>
      <c r="K478" s="86" t="str">
        <f t="shared" si="56"/>
        <v/>
      </c>
      <c r="L478" s="57" t="str">
        <f t="shared" si="63"/>
        <v/>
      </c>
      <c r="M478" s="186"/>
      <c r="N478" s="189"/>
      <c r="O478" s="190"/>
      <c r="P478" s="190" t="str">
        <f>IF(OR(ISBLANK(V478),COUNTBLANK(V478:$V$1048576)=ROWS(V478:$V$1048576)),"",$R$2*(1+SUM(V$7:V478)))</f>
        <v/>
      </c>
      <c r="Q478" s="191"/>
      <c r="R478" s="189"/>
      <c r="S478" s="53" t="str">
        <f t="shared" si="57"/>
        <v/>
      </c>
      <c r="T478" s="63" t="str">
        <f t="shared" si="58"/>
        <v/>
      </c>
      <c r="U478" s="64" t="str">
        <f>IF(OR(ISBLANK(Trades!R478), ISBLANK(Trades!H478), ISBLANK(Trades!I478)), "", IF(Trades!H478=Trades!I478, "N/A", (Trades!R478-Trades!H478)/(Trades!H478-Trades!I478)))</f>
        <v/>
      </c>
      <c r="V478" s="65" t="str">
        <f t="shared" si="59"/>
        <v/>
      </c>
      <c r="W478" s="66" t="str">
        <f t="shared" si="60"/>
        <v/>
      </c>
      <c r="X478" s="62" t="str">
        <f t="shared" si="61"/>
        <v/>
      </c>
      <c r="Y478" s="45"/>
      <c r="Z478" s="44"/>
      <c r="AA478" s="41"/>
      <c r="AB478" s="39"/>
      <c r="AC478" s="37" t="str">
        <f t="shared" si="62"/>
        <v/>
      </c>
    </row>
    <row r="479" spans="2:29" x14ac:dyDescent="0.25">
      <c r="B479" s="54">
        <v>473</v>
      </c>
      <c r="C479" s="168"/>
      <c r="D479" s="51"/>
      <c r="E479" s="29"/>
      <c r="F479" s="48"/>
      <c r="G479" s="29"/>
      <c r="H479" s="187"/>
      <c r="I479" s="187"/>
      <c r="J479" s="195"/>
      <c r="K479" s="86" t="str">
        <f t="shared" si="56"/>
        <v/>
      </c>
      <c r="L479" s="57" t="str">
        <f t="shared" si="63"/>
        <v/>
      </c>
      <c r="M479" s="186"/>
      <c r="N479" s="189"/>
      <c r="O479" s="190"/>
      <c r="P479" s="190" t="str">
        <f>IF(OR(ISBLANK(V479),COUNTBLANK(V479:$V$1048576)=ROWS(V479:$V$1048576)),"",$R$2*(1+SUM(V$7:V479)))</f>
        <v/>
      </c>
      <c r="Q479" s="191"/>
      <c r="R479" s="189"/>
      <c r="S479" s="53" t="str">
        <f t="shared" si="57"/>
        <v/>
      </c>
      <c r="T479" s="63" t="str">
        <f t="shared" si="58"/>
        <v/>
      </c>
      <c r="U479" s="64" t="str">
        <f>IF(OR(ISBLANK(Trades!R479), ISBLANK(Trades!H479), ISBLANK(Trades!I479)), "", IF(Trades!H479=Trades!I479, "N/A", (Trades!R479-Trades!H479)/(Trades!H479-Trades!I479)))</f>
        <v/>
      </c>
      <c r="V479" s="65" t="str">
        <f t="shared" si="59"/>
        <v/>
      </c>
      <c r="W479" s="66" t="str">
        <f t="shared" si="60"/>
        <v/>
      </c>
      <c r="X479" s="62" t="str">
        <f t="shared" si="61"/>
        <v/>
      </c>
      <c r="Y479" s="45"/>
      <c r="Z479" s="44"/>
      <c r="AA479" s="41"/>
      <c r="AB479" s="39"/>
      <c r="AC479" s="37" t="str">
        <f t="shared" si="62"/>
        <v/>
      </c>
    </row>
    <row r="480" spans="2:29" x14ac:dyDescent="0.25">
      <c r="B480" s="54">
        <v>474</v>
      </c>
      <c r="C480" s="168"/>
      <c r="D480" s="51"/>
      <c r="E480" s="29"/>
      <c r="F480" s="48"/>
      <c r="G480" s="29"/>
      <c r="H480" s="187"/>
      <c r="I480" s="187"/>
      <c r="J480" s="195"/>
      <c r="K480" s="86" t="str">
        <f t="shared" si="56"/>
        <v/>
      </c>
      <c r="L480" s="57" t="str">
        <f t="shared" si="63"/>
        <v/>
      </c>
      <c r="M480" s="186"/>
      <c r="N480" s="189"/>
      <c r="O480" s="190"/>
      <c r="P480" s="190" t="str">
        <f>IF(OR(ISBLANK(V480),COUNTBLANK(V480:$V$1048576)=ROWS(V480:$V$1048576)),"",$R$2*(1+SUM(V$7:V480)))</f>
        <v/>
      </c>
      <c r="Q480" s="191"/>
      <c r="R480" s="189"/>
      <c r="S480" s="53" t="str">
        <f t="shared" si="57"/>
        <v/>
      </c>
      <c r="T480" s="63" t="str">
        <f t="shared" si="58"/>
        <v/>
      </c>
      <c r="U480" s="64" t="str">
        <f>IF(OR(ISBLANK(Trades!R480), ISBLANK(Trades!H480), ISBLANK(Trades!I480)), "", IF(Trades!H480=Trades!I480, "N/A", (Trades!R480-Trades!H480)/(Trades!H480-Trades!I480)))</f>
        <v/>
      </c>
      <c r="V480" s="65" t="str">
        <f t="shared" si="59"/>
        <v/>
      </c>
      <c r="W480" s="66" t="str">
        <f t="shared" si="60"/>
        <v/>
      </c>
      <c r="X480" s="62" t="str">
        <f t="shared" si="61"/>
        <v/>
      </c>
      <c r="Y480" s="45"/>
      <c r="Z480" s="44"/>
      <c r="AA480" s="41"/>
      <c r="AB480" s="39"/>
      <c r="AC480" s="37" t="str">
        <f t="shared" si="62"/>
        <v/>
      </c>
    </row>
    <row r="481" spans="2:29" x14ac:dyDescent="0.25">
      <c r="B481" s="54">
        <v>475</v>
      </c>
      <c r="C481" s="168"/>
      <c r="D481" s="51"/>
      <c r="E481" s="29"/>
      <c r="F481" s="48"/>
      <c r="G481" s="29"/>
      <c r="H481" s="187"/>
      <c r="I481" s="187"/>
      <c r="J481" s="195"/>
      <c r="K481" s="86" t="str">
        <f t="shared" si="56"/>
        <v/>
      </c>
      <c r="L481" s="57" t="str">
        <f t="shared" si="63"/>
        <v/>
      </c>
      <c r="M481" s="186"/>
      <c r="N481" s="189"/>
      <c r="O481" s="190"/>
      <c r="P481" s="190" t="str">
        <f>IF(OR(ISBLANK(V481),COUNTBLANK(V481:$V$1048576)=ROWS(V481:$V$1048576)),"",$R$2*(1+SUM(V$7:V481)))</f>
        <v/>
      </c>
      <c r="Q481" s="191"/>
      <c r="R481" s="189"/>
      <c r="S481" s="53" t="str">
        <f t="shared" si="57"/>
        <v/>
      </c>
      <c r="T481" s="63" t="str">
        <f t="shared" si="58"/>
        <v/>
      </c>
      <c r="U481" s="64" t="str">
        <f>IF(OR(ISBLANK(Trades!R481), ISBLANK(Trades!H481), ISBLANK(Trades!I481)), "", IF(Trades!H481=Trades!I481, "N/A", (Trades!R481-Trades!H481)/(Trades!H481-Trades!I481)))</f>
        <v/>
      </c>
      <c r="V481" s="65" t="str">
        <f t="shared" si="59"/>
        <v/>
      </c>
      <c r="W481" s="66" t="str">
        <f t="shared" si="60"/>
        <v/>
      </c>
      <c r="X481" s="62" t="str">
        <f t="shared" si="61"/>
        <v/>
      </c>
      <c r="Y481" s="45"/>
      <c r="Z481" s="44"/>
      <c r="AA481" s="41"/>
      <c r="AB481" s="39"/>
      <c r="AC481" s="37" t="str">
        <f t="shared" si="62"/>
        <v/>
      </c>
    </row>
    <row r="482" spans="2:29" x14ac:dyDescent="0.25">
      <c r="B482" s="54">
        <v>476</v>
      </c>
      <c r="C482" s="168"/>
      <c r="D482" s="51"/>
      <c r="E482" s="29"/>
      <c r="F482" s="48"/>
      <c r="G482" s="29"/>
      <c r="H482" s="187"/>
      <c r="I482" s="187"/>
      <c r="J482" s="195"/>
      <c r="K482" s="86" t="str">
        <f t="shared" si="56"/>
        <v/>
      </c>
      <c r="L482" s="57" t="str">
        <f t="shared" si="63"/>
        <v/>
      </c>
      <c r="M482" s="186"/>
      <c r="N482" s="189"/>
      <c r="O482" s="190"/>
      <c r="P482" s="190" t="str">
        <f>IF(OR(ISBLANK(V482),COUNTBLANK(V482:$V$1048576)=ROWS(V482:$V$1048576)),"",$R$2*(1+SUM(V$7:V482)))</f>
        <v/>
      </c>
      <c r="Q482" s="191"/>
      <c r="R482" s="189"/>
      <c r="S482" s="53" t="str">
        <f t="shared" si="57"/>
        <v/>
      </c>
      <c r="T482" s="63" t="str">
        <f t="shared" si="58"/>
        <v/>
      </c>
      <c r="U482" s="64" t="str">
        <f>IF(OR(ISBLANK(Trades!R482), ISBLANK(Trades!H482), ISBLANK(Trades!I482)), "", IF(Trades!H482=Trades!I482, "N/A", (Trades!R482-Trades!H482)/(Trades!H482-Trades!I482)))</f>
        <v/>
      </c>
      <c r="V482" s="65" t="str">
        <f t="shared" si="59"/>
        <v/>
      </c>
      <c r="W482" s="66" t="str">
        <f t="shared" si="60"/>
        <v/>
      </c>
      <c r="X482" s="62" t="str">
        <f t="shared" si="61"/>
        <v/>
      </c>
      <c r="Y482" s="45"/>
      <c r="Z482" s="44"/>
      <c r="AA482" s="41"/>
      <c r="AB482" s="39"/>
      <c r="AC482" s="37" t="str">
        <f t="shared" si="62"/>
        <v/>
      </c>
    </row>
    <row r="483" spans="2:29" x14ac:dyDescent="0.25">
      <c r="B483" s="54">
        <v>477</v>
      </c>
      <c r="C483" s="168"/>
      <c r="D483" s="51"/>
      <c r="E483" s="29"/>
      <c r="F483" s="48"/>
      <c r="G483" s="29"/>
      <c r="H483" s="187"/>
      <c r="I483" s="187"/>
      <c r="J483" s="195"/>
      <c r="K483" s="86" t="str">
        <f t="shared" si="56"/>
        <v/>
      </c>
      <c r="L483" s="57" t="str">
        <f t="shared" si="63"/>
        <v/>
      </c>
      <c r="M483" s="186"/>
      <c r="N483" s="189"/>
      <c r="O483" s="190"/>
      <c r="P483" s="190" t="str">
        <f>IF(OR(ISBLANK(V483),COUNTBLANK(V483:$V$1048576)=ROWS(V483:$V$1048576)),"",$R$2*(1+SUM(V$7:V483)))</f>
        <v/>
      </c>
      <c r="Q483" s="191"/>
      <c r="R483" s="189"/>
      <c r="S483" s="53" t="str">
        <f t="shared" si="57"/>
        <v/>
      </c>
      <c r="T483" s="63" t="str">
        <f t="shared" si="58"/>
        <v/>
      </c>
      <c r="U483" s="64" t="str">
        <f>IF(OR(ISBLANK(Trades!R483), ISBLANK(Trades!H483), ISBLANK(Trades!I483)), "", IF(Trades!H483=Trades!I483, "N/A", (Trades!R483-Trades!H483)/(Trades!H483-Trades!I483)))</f>
        <v/>
      </c>
      <c r="V483" s="65" t="str">
        <f t="shared" si="59"/>
        <v/>
      </c>
      <c r="W483" s="66" t="str">
        <f t="shared" si="60"/>
        <v/>
      </c>
      <c r="X483" s="62" t="str">
        <f t="shared" si="61"/>
        <v/>
      </c>
      <c r="Y483" s="45"/>
      <c r="Z483" s="44"/>
      <c r="AA483" s="41"/>
      <c r="AB483" s="39"/>
      <c r="AC483" s="37" t="str">
        <f t="shared" si="62"/>
        <v/>
      </c>
    </row>
    <row r="484" spans="2:29" x14ac:dyDescent="0.25">
      <c r="B484" s="54">
        <v>478</v>
      </c>
      <c r="C484" s="168"/>
      <c r="D484" s="51"/>
      <c r="E484" s="29"/>
      <c r="F484" s="48"/>
      <c r="G484" s="29"/>
      <c r="H484" s="187"/>
      <c r="I484" s="187"/>
      <c r="J484" s="195"/>
      <c r="K484" s="86" t="str">
        <f t="shared" si="56"/>
        <v/>
      </c>
      <c r="L484" s="57" t="str">
        <f t="shared" si="63"/>
        <v/>
      </c>
      <c r="M484" s="186"/>
      <c r="N484" s="189"/>
      <c r="O484" s="190"/>
      <c r="P484" s="190" t="str">
        <f>IF(OR(ISBLANK(V484),COUNTBLANK(V484:$V$1048576)=ROWS(V484:$V$1048576)),"",$R$2*(1+SUM(V$7:V484)))</f>
        <v/>
      </c>
      <c r="Q484" s="191"/>
      <c r="R484" s="189"/>
      <c r="S484" s="53" t="str">
        <f t="shared" si="57"/>
        <v/>
      </c>
      <c r="T484" s="63" t="str">
        <f t="shared" si="58"/>
        <v/>
      </c>
      <c r="U484" s="64" t="str">
        <f>IF(OR(ISBLANK(Trades!R484), ISBLANK(Trades!H484), ISBLANK(Trades!I484)), "", IF(Trades!H484=Trades!I484, "N/A", (Trades!R484-Trades!H484)/(Trades!H484-Trades!I484)))</f>
        <v/>
      </c>
      <c r="V484" s="65" t="str">
        <f t="shared" si="59"/>
        <v/>
      </c>
      <c r="W484" s="66" t="str">
        <f t="shared" si="60"/>
        <v/>
      </c>
      <c r="X484" s="62" t="str">
        <f t="shared" si="61"/>
        <v/>
      </c>
      <c r="Y484" s="45"/>
      <c r="Z484" s="44"/>
      <c r="AA484" s="41"/>
      <c r="AB484" s="39"/>
      <c r="AC484" s="37" t="str">
        <f t="shared" si="62"/>
        <v/>
      </c>
    </row>
    <row r="485" spans="2:29" x14ac:dyDescent="0.25">
      <c r="B485" s="54">
        <v>479</v>
      </c>
      <c r="C485" s="168"/>
      <c r="D485" s="51"/>
      <c r="E485" s="29"/>
      <c r="F485" s="48"/>
      <c r="G485" s="29"/>
      <c r="H485" s="187"/>
      <c r="I485" s="187"/>
      <c r="J485" s="195"/>
      <c r="K485" s="86" t="str">
        <f t="shared" si="56"/>
        <v/>
      </c>
      <c r="L485" s="57" t="str">
        <f t="shared" si="63"/>
        <v/>
      </c>
      <c r="M485" s="186"/>
      <c r="N485" s="189"/>
      <c r="O485" s="190"/>
      <c r="P485" s="190" t="str">
        <f>IF(OR(ISBLANK(V485),COUNTBLANK(V485:$V$1048576)=ROWS(V485:$V$1048576)),"",$R$2*(1+SUM(V$7:V485)))</f>
        <v/>
      </c>
      <c r="Q485" s="191"/>
      <c r="R485" s="189"/>
      <c r="S485" s="53" t="str">
        <f t="shared" si="57"/>
        <v/>
      </c>
      <c r="T485" s="63" t="str">
        <f t="shared" si="58"/>
        <v/>
      </c>
      <c r="U485" s="64" t="str">
        <f>IF(OR(ISBLANK(Trades!R485), ISBLANK(Trades!H485), ISBLANK(Trades!I485)), "", IF(Trades!H485=Trades!I485, "N/A", (Trades!R485-Trades!H485)/(Trades!H485-Trades!I485)))</f>
        <v/>
      </c>
      <c r="V485" s="65" t="str">
        <f t="shared" si="59"/>
        <v/>
      </c>
      <c r="W485" s="66" t="str">
        <f t="shared" si="60"/>
        <v/>
      </c>
      <c r="X485" s="62" t="str">
        <f t="shared" si="61"/>
        <v/>
      </c>
      <c r="Y485" s="45"/>
      <c r="Z485" s="44"/>
      <c r="AA485" s="41"/>
      <c r="AB485" s="39"/>
      <c r="AC485" s="37" t="str">
        <f t="shared" si="62"/>
        <v/>
      </c>
    </row>
    <row r="486" spans="2:29" x14ac:dyDescent="0.25">
      <c r="B486" s="54">
        <v>480</v>
      </c>
      <c r="C486" s="168"/>
      <c r="D486" s="51"/>
      <c r="E486" s="29"/>
      <c r="F486" s="48"/>
      <c r="G486" s="29"/>
      <c r="H486" s="187"/>
      <c r="I486" s="187"/>
      <c r="J486" s="195"/>
      <c r="K486" s="86" t="str">
        <f t="shared" si="56"/>
        <v/>
      </c>
      <c r="L486" s="57" t="str">
        <f t="shared" si="63"/>
        <v/>
      </c>
      <c r="M486" s="186"/>
      <c r="N486" s="189"/>
      <c r="O486" s="190"/>
      <c r="P486" s="190" t="str">
        <f>IF(OR(ISBLANK(V486),COUNTBLANK(V486:$V$1048576)=ROWS(V486:$V$1048576)),"",$R$2*(1+SUM(V$7:V486)))</f>
        <v/>
      </c>
      <c r="Q486" s="191"/>
      <c r="R486" s="189"/>
      <c r="S486" s="53" t="str">
        <f t="shared" si="57"/>
        <v/>
      </c>
      <c r="T486" s="63" t="str">
        <f t="shared" si="58"/>
        <v/>
      </c>
      <c r="U486" s="64" t="str">
        <f>IF(OR(ISBLANK(Trades!R486), ISBLANK(Trades!H486), ISBLANK(Trades!I486)), "", IF(Trades!H486=Trades!I486, "N/A", (Trades!R486-Trades!H486)/(Trades!H486-Trades!I486)))</f>
        <v/>
      </c>
      <c r="V486" s="65" t="str">
        <f t="shared" si="59"/>
        <v/>
      </c>
      <c r="W486" s="66" t="str">
        <f t="shared" si="60"/>
        <v/>
      </c>
      <c r="X486" s="62" t="str">
        <f t="shared" si="61"/>
        <v/>
      </c>
      <c r="Y486" s="45"/>
      <c r="Z486" s="44"/>
      <c r="AA486" s="41"/>
      <c r="AB486" s="39"/>
      <c r="AC486" s="37" t="str">
        <f t="shared" si="62"/>
        <v/>
      </c>
    </row>
    <row r="487" spans="2:29" x14ac:dyDescent="0.25">
      <c r="B487" s="54">
        <v>481</v>
      </c>
      <c r="C487" s="168"/>
      <c r="D487" s="51"/>
      <c r="E487" s="29"/>
      <c r="F487" s="48"/>
      <c r="G487" s="29"/>
      <c r="H487" s="187"/>
      <c r="I487" s="187"/>
      <c r="J487" s="195"/>
      <c r="K487" s="86" t="str">
        <f t="shared" si="56"/>
        <v/>
      </c>
      <c r="L487" s="57" t="str">
        <f t="shared" si="63"/>
        <v/>
      </c>
      <c r="M487" s="186"/>
      <c r="N487" s="189"/>
      <c r="O487" s="190"/>
      <c r="P487" s="190" t="str">
        <f>IF(OR(ISBLANK(V487),COUNTBLANK(V487:$V$1048576)=ROWS(V487:$V$1048576)),"",$R$2*(1+SUM(V$7:V487)))</f>
        <v/>
      </c>
      <c r="Q487" s="191"/>
      <c r="R487" s="189"/>
      <c r="S487" s="53" t="str">
        <f t="shared" si="57"/>
        <v/>
      </c>
      <c r="T487" s="63" t="str">
        <f t="shared" si="58"/>
        <v/>
      </c>
      <c r="U487" s="64" t="str">
        <f>IF(OR(ISBLANK(Trades!R487), ISBLANK(Trades!H487), ISBLANK(Trades!I487)), "", IF(Trades!H487=Trades!I487, "N/A", (Trades!R487-Trades!H487)/(Trades!H487-Trades!I487)))</f>
        <v/>
      </c>
      <c r="V487" s="65" t="str">
        <f t="shared" si="59"/>
        <v/>
      </c>
      <c r="W487" s="66" t="str">
        <f t="shared" si="60"/>
        <v/>
      </c>
      <c r="X487" s="62" t="str">
        <f t="shared" si="61"/>
        <v/>
      </c>
      <c r="Y487" s="45"/>
      <c r="Z487" s="44"/>
      <c r="AA487" s="41"/>
      <c r="AB487" s="39"/>
      <c r="AC487" s="37" t="str">
        <f t="shared" si="62"/>
        <v/>
      </c>
    </row>
    <row r="488" spans="2:29" x14ac:dyDescent="0.25">
      <c r="B488" s="54">
        <v>482</v>
      </c>
      <c r="C488" s="168"/>
      <c r="D488" s="51"/>
      <c r="E488" s="29"/>
      <c r="F488" s="48"/>
      <c r="G488" s="29"/>
      <c r="H488" s="187"/>
      <c r="I488" s="187"/>
      <c r="J488" s="195"/>
      <c r="K488" s="86" t="str">
        <f t="shared" si="56"/>
        <v/>
      </c>
      <c r="L488" s="57" t="str">
        <f t="shared" si="63"/>
        <v/>
      </c>
      <c r="M488" s="186"/>
      <c r="N488" s="189"/>
      <c r="O488" s="190"/>
      <c r="P488" s="190" t="str">
        <f>IF(OR(ISBLANK(V488),COUNTBLANK(V488:$V$1048576)=ROWS(V488:$V$1048576)),"",$R$2*(1+SUM(V$7:V488)))</f>
        <v/>
      </c>
      <c r="Q488" s="191"/>
      <c r="R488" s="189"/>
      <c r="S488" s="53" t="str">
        <f t="shared" si="57"/>
        <v/>
      </c>
      <c r="T488" s="63" t="str">
        <f t="shared" si="58"/>
        <v/>
      </c>
      <c r="U488" s="64" t="str">
        <f>IF(OR(ISBLANK(Trades!R488), ISBLANK(Trades!H488), ISBLANK(Trades!I488)), "", IF(Trades!H488=Trades!I488, "N/A", (Trades!R488-Trades!H488)/(Trades!H488-Trades!I488)))</f>
        <v/>
      </c>
      <c r="V488" s="65" t="str">
        <f t="shared" si="59"/>
        <v/>
      </c>
      <c r="W488" s="66" t="str">
        <f t="shared" si="60"/>
        <v/>
      </c>
      <c r="X488" s="62" t="str">
        <f t="shared" si="61"/>
        <v/>
      </c>
      <c r="Y488" s="45"/>
      <c r="Z488" s="44"/>
      <c r="AA488" s="41"/>
      <c r="AB488" s="39"/>
      <c r="AC488" s="37" t="str">
        <f t="shared" si="62"/>
        <v/>
      </c>
    </row>
    <row r="489" spans="2:29" x14ac:dyDescent="0.25">
      <c r="B489" s="54">
        <v>483</v>
      </c>
      <c r="C489" s="168"/>
      <c r="D489" s="51"/>
      <c r="E489" s="29"/>
      <c r="F489" s="48"/>
      <c r="G489" s="29"/>
      <c r="H489" s="187"/>
      <c r="I489" s="187"/>
      <c r="J489" s="195"/>
      <c r="K489" s="86" t="str">
        <f t="shared" si="56"/>
        <v/>
      </c>
      <c r="L489" s="57" t="str">
        <f t="shared" si="63"/>
        <v/>
      </c>
      <c r="M489" s="186"/>
      <c r="N489" s="189"/>
      <c r="O489" s="190"/>
      <c r="P489" s="190" t="str">
        <f>IF(OR(ISBLANK(V489),COUNTBLANK(V489:$V$1048576)=ROWS(V489:$V$1048576)),"",$R$2*(1+SUM(V$7:V489)))</f>
        <v/>
      </c>
      <c r="Q489" s="191"/>
      <c r="R489" s="189"/>
      <c r="S489" s="53" t="str">
        <f t="shared" si="57"/>
        <v/>
      </c>
      <c r="T489" s="63" t="str">
        <f t="shared" si="58"/>
        <v/>
      </c>
      <c r="U489" s="64" t="str">
        <f>IF(OR(ISBLANK(Trades!R489), ISBLANK(Trades!H489), ISBLANK(Trades!I489)), "", IF(Trades!H489=Trades!I489, "N/A", (Trades!R489-Trades!H489)/(Trades!H489-Trades!I489)))</f>
        <v/>
      </c>
      <c r="V489" s="65" t="str">
        <f t="shared" si="59"/>
        <v/>
      </c>
      <c r="W489" s="66" t="str">
        <f t="shared" si="60"/>
        <v/>
      </c>
      <c r="X489" s="62" t="str">
        <f t="shared" si="61"/>
        <v/>
      </c>
      <c r="Y489" s="45"/>
      <c r="Z489" s="44"/>
      <c r="AA489" s="41"/>
      <c r="AB489" s="39"/>
      <c r="AC489" s="37" t="str">
        <f t="shared" si="62"/>
        <v/>
      </c>
    </row>
    <row r="490" spans="2:29" x14ac:dyDescent="0.25">
      <c r="B490" s="54">
        <v>484</v>
      </c>
      <c r="C490" s="168"/>
      <c r="D490" s="51"/>
      <c r="E490" s="29"/>
      <c r="F490" s="48"/>
      <c r="G490" s="29"/>
      <c r="H490" s="187"/>
      <c r="I490" s="187"/>
      <c r="J490" s="195"/>
      <c r="K490" s="86" t="str">
        <f t="shared" si="56"/>
        <v/>
      </c>
      <c r="L490" s="57" t="str">
        <f t="shared" si="63"/>
        <v/>
      </c>
      <c r="M490" s="186"/>
      <c r="N490" s="189"/>
      <c r="O490" s="190"/>
      <c r="P490" s="190" t="str">
        <f>IF(OR(ISBLANK(V490),COUNTBLANK(V490:$V$1048576)=ROWS(V490:$V$1048576)),"",$R$2*(1+SUM(V$7:V490)))</f>
        <v/>
      </c>
      <c r="Q490" s="191"/>
      <c r="R490" s="189"/>
      <c r="S490" s="53" t="str">
        <f t="shared" si="57"/>
        <v/>
      </c>
      <c r="T490" s="63" t="str">
        <f t="shared" si="58"/>
        <v/>
      </c>
      <c r="U490" s="64" t="str">
        <f>IF(OR(ISBLANK(Trades!R490), ISBLANK(Trades!H490), ISBLANK(Trades!I490)), "", IF(Trades!H490=Trades!I490, "N/A", (Trades!R490-Trades!H490)/(Trades!H490-Trades!I490)))</f>
        <v/>
      </c>
      <c r="V490" s="65" t="str">
        <f t="shared" si="59"/>
        <v/>
      </c>
      <c r="W490" s="66" t="str">
        <f t="shared" si="60"/>
        <v/>
      </c>
      <c r="X490" s="62" t="str">
        <f t="shared" si="61"/>
        <v/>
      </c>
      <c r="Y490" s="45"/>
      <c r="Z490" s="44"/>
      <c r="AA490" s="41"/>
      <c r="AB490" s="39"/>
      <c r="AC490" s="37" t="str">
        <f t="shared" si="62"/>
        <v/>
      </c>
    </row>
    <row r="491" spans="2:29" x14ac:dyDescent="0.25">
      <c r="B491" s="54">
        <v>485</v>
      </c>
      <c r="C491" s="168"/>
      <c r="D491" s="51"/>
      <c r="E491" s="29"/>
      <c r="F491" s="48"/>
      <c r="G491" s="29"/>
      <c r="H491" s="187"/>
      <c r="I491" s="187"/>
      <c r="J491" s="195"/>
      <c r="K491" s="86" t="str">
        <f t="shared" si="56"/>
        <v/>
      </c>
      <c r="L491" s="57" t="str">
        <f t="shared" si="63"/>
        <v/>
      </c>
      <c r="M491" s="186"/>
      <c r="N491" s="189"/>
      <c r="O491" s="190"/>
      <c r="P491" s="190" t="str">
        <f>IF(OR(ISBLANK(V491),COUNTBLANK(V491:$V$1048576)=ROWS(V491:$V$1048576)),"",$R$2*(1+SUM(V$7:V491)))</f>
        <v/>
      </c>
      <c r="Q491" s="191"/>
      <c r="R491" s="189"/>
      <c r="S491" s="53" t="str">
        <f t="shared" si="57"/>
        <v/>
      </c>
      <c r="T491" s="63" t="str">
        <f t="shared" si="58"/>
        <v/>
      </c>
      <c r="U491" s="64" t="str">
        <f>IF(OR(ISBLANK(Trades!R491), ISBLANK(Trades!H491), ISBLANK(Trades!I491)), "", IF(Trades!H491=Trades!I491, "N/A", (Trades!R491-Trades!H491)/(Trades!H491-Trades!I491)))</f>
        <v/>
      </c>
      <c r="V491" s="65" t="str">
        <f t="shared" si="59"/>
        <v/>
      </c>
      <c r="W491" s="66" t="str">
        <f t="shared" si="60"/>
        <v/>
      </c>
      <c r="X491" s="62" t="str">
        <f t="shared" si="61"/>
        <v/>
      </c>
      <c r="Y491" s="45"/>
      <c r="Z491" s="44"/>
      <c r="AA491" s="41"/>
      <c r="AB491" s="39"/>
      <c r="AC491" s="37" t="str">
        <f t="shared" si="62"/>
        <v/>
      </c>
    </row>
    <row r="492" spans="2:29" x14ac:dyDescent="0.25">
      <c r="B492" s="54">
        <v>486</v>
      </c>
      <c r="C492" s="168"/>
      <c r="D492" s="51"/>
      <c r="E492" s="29"/>
      <c r="F492" s="48"/>
      <c r="G492" s="29"/>
      <c r="H492" s="187"/>
      <c r="I492" s="187"/>
      <c r="J492" s="195"/>
      <c r="K492" s="86" t="str">
        <f t="shared" si="56"/>
        <v/>
      </c>
      <c r="L492" s="57" t="str">
        <f t="shared" si="63"/>
        <v/>
      </c>
      <c r="M492" s="186"/>
      <c r="N492" s="189"/>
      <c r="O492" s="190"/>
      <c r="P492" s="190" t="str">
        <f>IF(OR(ISBLANK(V492),COUNTBLANK(V492:$V$1048576)=ROWS(V492:$V$1048576)),"",$R$2*(1+SUM(V$7:V492)))</f>
        <v/>
      </c>
      <c r="Q492" s="191"/>
      <c r="R492" s="189"/>
      <c r="S492" s="53" t="str">
        <f t="shared" si="57"/>
        <v/>
      </c>
      <c r="T492" s="63" t="str">
        <f t="shared" si="58"/>
        <v/>
      </c>
      <c r="U492" s="64" t="str">
        <f>IF(OR(ISBLANK(Trades!R492), ISBLANK(Trades!H492), ISBLANK(Trades!I492)), "", IF(Trades!H492=Trades!I492, "N/A", (Trades!R492-Trades!H492)/(Trades!H492-Trades!I492)))</f>
        <v/>
      </c>
      <c r="V492" s="65" t="str">
        <f t="shared" si="59"/>
        <v/>
      </c>
      <c r="W492" s="66" t="str">
        <f t="shared" si="60"/>
        <v/>
      </c>
      <c r="X492" s="62" t="str">
        <f t="shared" si="61"/>
        <v/>
      </c>
      <c r="Y492" s="45"/>
      <c r="Z492" s="44"/>
      <c r="AA492" s="41"/>
      <c r="AB492" s="39"/>
      <c r="AC492" s="37" t="str">
        <f t="shared" si="62"/>
        <v/>
      </c>
    </row>
    <row r="493" spans="2:29" x14ac:dyDescent="0.25">
      <c r="B493" s="54">
        <v>487</v>
      </c>
      <c r="C493" s="168"/>
      <c r="D493" s="51"/>
      <c r="E493" s="29"/>
      <c r="F493" s="48"/>
      <c r="G493" s="29"/>
      <c r="H493" s="187"/>
      <c r="I493" s="187"/>
      <c r="J493" s="195"/>
      <c r="K493" s="86" t="str">
        <f t="shared" si="56"/>
        <v/>
      </c>
      <c r="L493" s="57" t="str">
        <f t="shared" si="63"/>
        <v/>
      </c>
      <c r="M493" s="186"/>
      <c r="N493" s="189"/>
      <c r="O493" s="190"/>
      <c r="P493" s="190" t="str">
        <f>IF(OR(ISBLANK(V493),COUNTBLANK(V493:$V$1048576)=ROWS(V493:$V$1048576)),"",$R$2*(1+SUM(V$7:V493)))</f>
        <v/>
      </c>
      <c r="Q493" s="191"/>
      <c r="R493" s="189"/>
      <c r="S493" s="53" t="str">
        <f t="shared" si="57"/>
        <v/>
      </c>
      <c r="T493" s="63" t="str">
        <f t="shared" si="58"/>
        <v/>
      </c>
      <c r="U493" s="64" t="str">
        <f>IF(OR(ISBLANK(Trades!R493), ISBLANK(Trades!H493), ISBLANK(Trades!I493)), "", IF(Trades!H493=Trades!I493, "N/A", (Trades!R493-Trades!H493)/(Trades!H493-Trades!I493)))</f>
        <v/>
      </c>
      <c r="V493" s="65" t="str">
        <f t="shared" si="59"/>
        <v/>
      </c>
      <c r="W493" s="66" t="str">
        <f t="shared" si="60"/>
        <v/>
      </c>
      <c r="X493" s="62" t="str">
        <f t="shared" si="61"/>
        <v/>
      </c>
      <c r="Y493" s="45"/>
      <c r="Z493" s="44"/>
      <c r="AA493" s="41"/>
      <c r="AB493" s="39"/>
      <c r="AC493" s="37" t="str">
        <f t="shared" si="62"/>
        <v/>
      </c>
    </row>
    <row r="494" spans="2:29" x14ac:dyDescent="0.25">
      <c r="B494" s="54">
        <v>488</v>
      </c>
      <c r="C494" s="168"/>
      <c r="D494" s="51"/>
      <c r="E494" s="29"/>
      <c r="F494" s="48"/>
      <c r="G494" s="29"/>
      <c r="H494" s="187"/>
      <c r="I494" s="187"/>
      <c r="J494" s="195"/>
      <c r="K494" s="86" t="str">
        <f t="shared" si="56"/>
        <v/>
      </c>
      <c r="L494" s="57" t="str">
        <f t="shared" si="63"/>
        <v/>
      </c>
      <c r="M494" s="186"/>
      <c r="N494" s="189"/>
      <c r="O494" s="190"/>
      <c r="P494" s="190" t="str">
        <f>IF(OR(ISBLANK(V494),COUNTBLANK(V494:$V$1048576)=ROWS(V494:$V$1048576)),"",$R$2*(1+SUM(V$7:V494)))</f>
        <v/>
      </c>
      <c r="Q494" s="191"/>
      <c r="R494" s="189"/>
      <c r="S494" s="53" t="str">
        <f t="shared" si="57"/>
        <v/>
      </c>
      <c r="T494" s="63" t="str">
        <f t="shared" si="58"/>
        <v/>
      </c>
      <c r="U494" s="64" t="str">
        <f>IF(OR(ISBLANK(Trades!R494), ISBLANK(Trades!H494), ISBLANK(Trades!I494)), "", IF(Trades!H494=Trades!I494, "N/A", (Trades!R494-Trades!H494)/(Trades!H494-Trades!I494)))</f>
        <v/>
      </c>
      <c r="V494" s="65" t="str">
        <f t="shared" si="59"/>
        <v/>
      </c>
      <c r="W494" s="66" t="str">
        <f t="shared" si="60"/>
        <v/>
      </c>
      <c r="X494" s="62" t="str">
        <f t="shared" si="61"/>
        <v/>
      </c>
      <c r="Y494" s="45"/>
      <c r="Z494" s="44"/>
      <c r="AA494" s="41"/>
      <c r="AB494" s="39"/>
      <c r="AC494" s="37" t="str">
        <f t="shared" si="62"/>
        <v/>
      </c>
    </row>
    <row r="495" spans="2:29" x14ac:dyDescent="0.25">
      <c r="B495" s="54">
        <v>489</v>
      </c>
      <c r="C495" s="168"/>
      <c r="D495" s="51"/>
      <c r="E495" s="29"/>
      <c r="F495" s="48"/>
      <c r="G495" s="29"/>
      <c r="H495" s="187"/>
      <c r="I495" s="187"/>
      <c r="J495" s="195"/>
      <c r="K495" s="86" t="str">
        <f t="shared" si="56"/>
        <v/>
      </c>
      <c r="L495" s="57" t="str">
        <f t="shared" si="63"/>
        <v/>
      </c>
      <c r="M495" s="186"/>
      <c r="N495" s="189"/>
      <c r="O495" s="190"/>
      <c r="P495" s="190" t="str">
        <f>IF(OR(ISBLANK(V495),COUNTBLANK(V495:$V$1048576)=ROWS(V495:$V$1048576)),"",$R$2*(1+SUM(V$7:V495)))</f>
        <v/>
      </c>
      <c r="Q495" s="191"/>
      <c r="R495" s="189"/>
      <c r="S495" s="53" t="str">
        <f t="shared" si="57"/>
        <v/>
      </c>
      <c r="T495" s="63" t="str">
        <f t="shared" si="58"/>
        <v/>
      </c>
      <c r="U495" s="64" t="str">
        <f>IF(OR(ISBLANK(Trades!R495), ISBLANK(Trades!H495), ISBLANK(Trades!I495)), "", IF(Trades!H495=Trades!I495, "N/A", (Trades!R495-Trades!H495)/(Trades!H495-Trades!I495)))</f>
        <v/>
      </c>
      <c r="V495" s="65" t="str">
        <f t="shared" si="59"/>
        <v/>
      </c>
      <c r="W495" s="66" t="str">
        <f t="shared" si="60"/>
        <v/>
      </c>
      <c r="X495" s="62" t="str">
        <f t="shared" si="61"/>
        <v/>
      </c>
      <c r="Y495" s="45"/>
      <c r="Z495" s="44"/>
      <c r="AA495" s="41"/>
      <c r="AB495" s="39"/>
      <c r="AC495" s="37" t="str">
        <f t="shared" si="62"/>
        <v/>
      </c>
    </row>
    <row r="496" spans="2:29" x14ac:dyDescent="0.25">
      <c r="B496" s="54">
        <v>490</v>
      </c>
      <c r="C496" s="168"/>
      <c r="D496" s="51"/>
      <c r="E496" s="29"/>
      <c r="F496" s="48"/>
      <c r="G496" s="29"/>
      <c r="H496" s="187"/>
      <c r="I496" s="187"/>
      <c r="J496" s="195"/>
      <c r="K496" s="86" t="str">
        <f t="shared" si="56"/>
        <v/>
      </c>
      <c r="L496" s="57" t="str">
        <f t="shared" si="63"/>
        <v/>
      </c>
      <c r="M496" s="186"/>
      <c r="N496" s="189"/>
      <c r="O496" s="190"/>
      <c r="P496" s="190" t="str">
        <f>IF(OR(ISBLANK(V496),COUNTBLANK(V496:$V$1048576)=ROWS(V496:$V$1048576)),"",$R$2*(1+SUM(V$7:V496)))</f>
        <v/>
      </c>
      <c r="Q496" s="191"/>
      <c r="R496" s="189"/>
      <c r="S496" s="53" t="str">
        <f t="shared" si="57"/>
        <v/>
      </c>
      <c r="T496" s="63" t="str">
        <f t="shared" si="58"/>
        <v/>
      </c>
      <c r="U496" s="64" t="str">
        <f>IF(OR(ISBLANK(Trades!R496), ISBLANK(Trades!H496), ISBLANK(Trades!I496)), "", IF(Trades!H496=Trades!I496, "N/A", (Trades!R496-Trades!H496)/(Trades!H496-Trades!I496)))</f>
        <v/>
      </c>
      <c r="V496" s="65" t="str">
        <f t="shared" si="59"/>
        <v/>
      </c>
      <c r="W496" s="66" t="str">
        <f t="shared" si="60"/>
        <v/>
      </c>
      <c r="X496" s="62" t="str">
        <f t="shared" si="61"/>
        <v/>
      </c>
      <c r="Y496" s="45"/>
      <c r="Z496" s="44"/>
      <c r="AA496" s="41"/>
      <c r="AB496" s="39"/>
      <c r="AC496" s="37" t="str">
        <f t="shared" si="62"/>
        <v/>
      </c>
    </row>
    <row r="497" spans="2:29" x14ac:dyDescent="0.25">
      <c r="B497" s="54">
        <v>491</v>
      </c>
      <c r="C497" s="168"/>
      <c r="D497" s="51"/>
      <c r="E497" s="29"/>
      <c r="F497" s="48"/>
      <c r="G497" s="29"/>
      <c r="H497" s="187"/>
      <c r="I497" s="187"/>
      <c r="J497" s="195"/>
      <c r="K497" s="86" t="str">
        <f t="shared" si="56"/>
        <v/>
      </c>
      <c r="L497" s="57" t="str">
        <f t="shared" si="63"/>
        <v/>
      </c>
      <c r="M497" s="186"/>
      <c r="N497" s="189"/>
      <c r="O497" s="190"/>
      <c r="P497" s="190" t="str">
        <f>IF(OR(ISBLANK(V497),COUNTBLANK(V497:$V$1048576)=ROWS(V497:$V$1048576)),"",$R$2*(1+SUM(V$7:V497)))</f>
        <v/>
      </c>
      <c r="Q497" s="191"/>
      <c r="R497" s="189"/>
      <c r="S497" s="53" t="str">
        <f t="shared" si="57"/>
        <v/>
      </c>
      <c r="T497" s="63" t="str">
        <f t="shared" si="58"/>
        <v/>
      </c>
      <c r="U497" s="64" t="str">
        <f>IF(OR(ISBLANK(Trades!R497), ISBLANK(Trades!H497), ISBLANK(Trades!I497)), "", IF(Trades!H497=Trades!I497, "N/A", (Trades!R497-Trades!H497)/(Trades!H497-Trades!I497)))</f>
        <v/>
      </c>
      <c r="V497" s="65" t="str">
        <f t="shared" si="59"/>
        <v/>
      </c>
      <c r="W497" s="66" t="str">
        <f t="shared" si="60"/>
        <v/>
      </c>
      <c r="X497" s="62" t="str">
        <f t="shared" si="61"/>
        <v/>
      </c>
      <c r="Y497" s="45"/>
      <c r="Z497" s="44"/>
      <c r="AA497" s="41"/>
      <c r="AB497" s="39"/>
      <c r="AC497" s="37" t="str">
        <f t="shared" si="62"/>
        <v/>
      </c>
    </row>
    <row r="498" spans="2:29" x14ac:dyDescent="0.25">
      <c r="B498" s="54">
        <v>492</v>
      </c>
      <c r="C498" s="168"/>
      <c r="D498" s="51"/>
      <c r="E498" s="29"/>
      <c r="F498" s="48"/>
      <c r="G498" s="29"/>
      <c r="H498" s="187"/>
      <c r="I498" s="187"/>
      <c r="J498" s="195"/>
      <c r="K498" s="86" t="str">
        <f t="shared" si="56"/>
        <v/>
      </c>
      <c r="L498" s="57" t="str">
        <f t="shared" si="63"/>
        <v/>
      </c>
      <c r="M498" s="186"/>
      <c r="N498" s="189"/>
      <c r="O498" s="190"/>
      <c r="P498" s="190" t="str">
        <f>IF(OR(ISBLANK(V498),COUNTBLANK(V498:$V$1048576)=ROWS(V498:$V$1048576)),"",$R$2*(1+SUM(V$7:V498)))</f>
        <v/>
      </c>
      <c r="Q498" s="191"/>
      <c r="R498" s="189"/>
      <c r="S498" s="53" t="str">
        <f t="shared" si="57"/>
        <v/>
      </c>
      <c r="T498" s="63" t="str">
        <f t="shared" si="58"/>
        <v/>
      </c>
      <c r="U498" s="64" t="str">
        <f>IF(OR(ISBLANK(Trades!R498), ISBLANK(Trades!H498), ISBLANK(Trades!I498)), "", IF(Trades!H498=Trades!I498, "N/A", (Trades!R498-Trades!H498)/(Trades!H498-Trades!I498)))</f>
        <v/>
      </c>
      <c r="V498" s="65" t="str">
        <f t="shared" si="59"/>
        <v/>
      </c>
      <c r="W498" s="66" t="str">
        <f t="shared" si="60"/>
        <v/>
      </c>
      <c r="X498" s="62" t="str">
        <f t="shared" si="61"/>
        <v/>
      </c>
      <c r="Y498" s="45"/>
      <c r="Z498" s="44"/>
      <c r="AA498" s="41"/>
      <c r="AB498" s="39"/>
      <c r="AC498" s="37" t="str">
        <f t="shared" si="62"/>
        <v/>
      </c>
    </row>
    <row r="499" spans="2:29" x14ac:dyDescent="0.25">
      <c r="B499" s="54">
        <v>493</v>
      </c>
      <c r="C499" s="168"/>
      <c r="D499" s="51"/>
      <c r="E499" s="29"/>
      <c r="F499" s="48"/>
      <c r="G499" s="29"/>
      <c r="H499" s="187"/>
      <c r="I499" s="187"/>
      <c r="J499" s="195"/>
      <c r="K499" s="86" t="str">
        <f t="shared" si="56"/>
        <v/>
      </c>
      <c r="L499" s="57" t="str">
        <f t="shared" si="63"/>
        <v/>
      </c>
      <c r="M499" s="186"/>
      <c r="N499" s="189"/>
      <c r="O499" s="190"/>
      <c r="P499" s="190" t="str">
        <f>IF(OR(ISBLANK(V499),COUNTBLANK(V499:$V$1048576)=ROWS(V499:$V$1048576)),"",$R$2*(1+SUM(V$7:V499)))</f>
        <v/>
      </c>
      <c r="Q499" s="191"/>
      <c r="R499" s="189"/>
      <c r="S499" s="53" t="str">
        <f t="shared" si="57"/>
        <v/>
      </c>
      <c r="T499" s="63" t="str">
        <f t="shared" si="58"/>
        <v/>
      </c>
      <c r="U499" s="64" t="str">
        <f>IF(OR(ISBLANK(Trades!R499), ISBLANK(Trades!H499), ISBLANK(Trades!I499)), "", IF(Trades!H499=Trades!I499, "N/A", (Trades!R499-Trades!H499)/(Trades!H499-Trades!I499)))</f>
        <v/>
      </c>
      <c r="V499" s="65" t="str">
        <f t="shared" si="59"/>
        <v/>
      </c>
      <c r="W499" s="66" t="str">
        <f t="shared" si="60"/>
        <v/>
      </c>
      <c r="X499" s="62" t="str">
        <f t="shared" si="61"/>
        <v/>
      </c>
      <c r="Y499" s="45"/>
      <c r="Z499" s="44"/>
      <c r="AA499" s="41"/>
      <c r="AB499" s="39"/>
      <c r="AC499" s="37" t="str">
        <f t="shared" si="62"/>
        <v/>
      </c>
    </row>
    <row r="500" spans="2:29" x14ac:dyDescent="0.25">
      <c r="B500" s="54">
        <v>494</v>
      </c>
      <c r="C500" s="168"/>
      <c r="D500" s="51"/>
      <c r="E500" s="29"/>
      <c r="F500" s="48"/>
      <c r="G500" s="29"/>
      <c r="H500" s="187"/>
      <c r="I500" s="187"/>
      <c r="J500" s="195"/>
      <c r="K500" s="86" t="str">
        <f t="shared" si="56"/>
        <v/>
      </c>
      <c r="L500" s="57" t="str">
        <f t="shared" si="63"/>
        <v/>
      </c>
      <c r="M500" s="186"/>
      <c r="N500" s="189"/>
      <c r="O500" s="190"/>
      <c r="P500" s="190" t="str">
        <f>IF(OR(ISBLANK(V500),COUNTBLANK(V500:$V$1048576)=ROWS(V500:$V$1048576)),"",$R$2*(1+SUM(V$7:V500)))</f>
        <v/>
      </c>
      <c r="Q500" s="191"/>
      <c r="R500" s="189"/>
      <c r="S500" s="53" t="str">
        <f t="shared" si="57"/>
        <v/>
      </c>
      <c r="T500" s="63" t="str">
        <f t="shared" si="58"/>
        <v/>
      </c>
      <c r="U500" s="64" t="str">
        <f>IF(OR(ISBLANK(Trades!R500), ISBLANK(Trades!H500), ISBLANK(Trades!I500)), "", IF(Trades!H500=Trades!I500, "N/A", (Trades!R500-Trades!H500)/(Trades!H500-Trades!I500)))</f>
        <v/>
      </c>
      <c r="V500" s="65" t="str">
        <f t="shared" si="59"/>
        <v/>
      </c>
      <c r="W500" s="66" t="str">
        <f t="shared" si="60"/>
        <v/>
      </c>
      <c r="X500" s="62" t="str">
        <f t="shared" si="61"/>
        <v/>
      </c>
      <c r="Y500" s="45"/>
      <c r="Z500" s="44"/>
      <c r="AA500" s="41"/>
      <c r="AB500" s="39"/>
      <c r="AC500" s="37" t="str">
        <f t="shared" si="62"/>
        <v/>
      </c>
    </row>
    <row r="501" spans="2:29" x14ac:dyDescent="0.25">
      <c r="B501" s="54">
        <v>495</v>
      </c>
      <c r="C501" s="168"/>
      <c r="D501" s="51"/>
      <c r="E501" s="29"/>
      <c r="F501" s="48"/>
      <c r="G501" s="29"/>
      <c r="H501" s="187"/>
      <c r="I501" s="187"/>
      <c r="J501" s="195"/>
      <c r="K501" s="86" t="str">
        <f t="shared" si="56"/>
        <v/>
      </c>
      <c r="L501" s="57" t="str">
        <f t="shared" si="63"/>
        <v/>
      </c>
      <c r="M501" s="186"/>
      <c r="N501" s="189"/>
      <c r="O501" s="190"/>
      <c r="P501" s="190" t="str">
        <f>IF(OR(ISBLANK(V501),COUNTBLANK(V501:$V$1048576)=ROWS(V501:$V$1048576)),"",$R$2*(1+SUM(V$7:V501)))</f>
        <v/>
      </c>
      <c r="Q501" s="191"/>
      <c r="R501" s="189"/>
      <c r="S501" s="53" t="str">
        <f t="shared" si="57"/>
        <v/>
      </c>
      <c r="T501" s="63" t="str">
        <f t="shared" si="58"/>
        <v/>
      </c>
      <c r="U501" s="64" t="str">
        <f>IF(OR(ISBLANK(Trades!R501), ISBLANK(Trades!H501), ISBLANK(Trades!I501)), "", IF(Trades!H501=Trades!I501, "N/A", (Trades!R501-Trades!H501)/(Trades!H501-Trades!I501)))</f>
        <v/>
      </c>
      <c r="V501" s="65" t="str">
        <f t="shared" si="59"/>
        <v/>
      </c>
      <c r="W501" s="66" t="str">
        <f t="shared" si="60"/>
        <v/>
      </c>
      <c r="X501" s="62" t="str">
        <f t="shared" si="61"/>
        <v/>
      </c>
      <c r="Y501" s="45"/>
      <c r="Z501" s="44"/>
      <c r="AA501" s="41"/>
      <c r="AB501" s="39"/>
      <c r="AC501" s="37" t="str">
        <f t="shared" si="62"/>
        <v/>
      </c>
    </row>
    <row r="502" spans="2:29" x14ac:dyDescent="0.25">
      <c r="B502" s="54">
        <v>496</v>
      </c>
      <c r="C502" s="168"/>
      <c r="D502" s="51"/>
      <c r="E502" s="29"/>
      <c r="F502" s="48"/>
      <c r="G502" s="29"/>
      <c r="H502" s="187"/>
      <c r="I502" s="187"/>
      <c r="J502" s="195"/>
      <c r="K502" s="86" t="str">
        <f t="shared" si="56"/>
        <v/>
      </c>
      <c r="L502" s="57" t="str">
        <f t="shared" si="63"/>
        <v/>
      </c>
      <c r="M502" s="186"/>
      <c r="N502" s="189"/>
      <c r="O502" s="190"/>
      <c r="P502" s="190" t="str">
        <f>IF(OR(ISBLANK(V502),COUNTBLANK(V502:$V$1048576)=ROWS(V502:$V$1048576)),"",$R$2*(1+SUM(V$7:V502)))</f>
        <v/>
      </c>
      <c r="Q502" s="191"/>
      <c r="R502" s="189"/>
      <c r="S502" s="53" t="str">
        <f t="shared" si="57"/>
        <v/>
      </c>
      <c r="T502" s="63" t="str">
        <f t="shared" si="58"/>
        <v/>
      </c>
      <c r="U502" s="64" t="str">
        <f>IF(OR(ISBLANK(Trades!R502), ISBLANK(Trades!H502), ISBLANK(Trades!I502)), "", IF(Trades!H502=Trades!I502, "N/A", (Trades!R502-Trades!H502)/(Trades!H502-Trades!I502)))</f>
        <v/>
      </c>
      <c r="V502" s="65" t="str">
        <f t="shared" si="59"/>
        <v/>
      </c>
      <c r="W502" s="66" t="str">
        <f t="shared" si="60"/>
        <v/>
      </c>
      <c r="X502" s="62" t="str">
        <f t="shared" si="61"/>
        <v/>
      </c>
      <c r="Y502" s="45"/>
      <c r="Z502" s="44"/>
      <c r="AA502" s="41"/>
      <c r="AB502" s="39"/>
      <c r="AC502" s="37" t="str">
        <f t="shared" si="62"/>
        <v/>
      </c>
    </row>
    <row r="503" spans="2:29" x14ac:dyDescent="0.25">
      <c r="B503" s="54">
        <v>497</v>
      </c>
      <c r="C503" s="168"/>
      <c r="D503" s="51"/>
      <c r="E503" s="29"/>
      <c r="F503" s="48"/>
      <c r="G503" s="29"/>
      <c r="H503" s="187"/>
      <c r="I503" s="187"/>
      <c r="J503" s="195"/>
      <c r="K503" s="86" t="str">
        <f t="shared" si="56"/>
        <v/>
      </c>
      <c r="L503" s="57" t="str">
        <f t="shared" si="63"/>
        <v/>
      </c>
      <c r="M503" s="186"/>
      <c r="N503" s="189"/>
      <c r="O503" s="190"/>
      <c r="P503" s="190" t="str">
        <f>IF(OR(ISBLANK(V503),COUNTBLANK(V503:$V$1048576)=ROWS(V503:$V$1048576)),"",$R$2*(1+SUM(V$7:V503)))</f>
        <v/>
      </c>
      <c r="Q503" s="191"/>
      <c r="R503" s="189"/>
      <c r="S503" s="53" t="str">
        <f t="shared" si="57"/>
        <v/>
      </c>
      <c r="T503" s="63" t="str">
        <f t="shared" si="58"/>
        <v/>
      </c>
      <c r="U503" s="64" t="str">
        <f>IF(OR(ISBLANK(Trades!R503), ISBLANK(Trades!H503), ISBLANK(Trades!I503)), "", IF(Trades!H503=Trades!I503, "N/A", (Trades!R503-Trades!H503)/(Trades!H503-Trades!I503)))</f>
        <v/>
      </c>
      <c r="V503" s="65" t="str">
        <f t="shared" si="59"/>
        <v/>
      </c>
      <c r="W503" s="66" t="str">
        <f t="shared" si="60"/>
        <v/>
      </c>
      <c r="X503" s="62" t="str">
        <f t="shared" si="61"/>
        <v/>
      </c>
      <c r="Y503" s="45"/>
      <c r="Z503" s="44"/>
      <c r="AA503" s="41"/>
      <c r="AB503" s="39"/>
      <c r="AC503" s="37" t="str">
        <f t="shared" si="62"/>
        <v/>
      </c>
    </row>
    <row r="504" spans="2:29" x14ac:dyDescent="0.25">
      <c r="B504" s="54">
        <v>498</v>
      </c>
      <c r="C504" s="168"/>
      <c r="D504" s="51"/>
      <c r="E504" s="29"/>
      <c r="F504" s="48"/>
      <c r="G504" s="29"/>
      <c r="H504" s="187"/>
      <c r="I504" s="187"/>
      <c r="J504" s="195"/>
      <c r="K504" s="86" t="str">
        <f t="shared" si="56"/>
        <v/>
      </c>
      <c r="L504" s="57" t="str">
        <f t="shared" si="63"/>
        <v/>
      </c>
      <c r="M504" s="186"/>
      <c r="N504" s="189"/>
      <c r="O504" s="190"/>
      <c r="P504" s="190" t="str">
        <f>IF(OR(ISBLANK(V504),COUNTBLANK(V504:$V$1048576)=ROWS(V504:$V$1048576)),"",$R$2*(1+SUM(V$7:V504)))</f>
        <v/>
      </c>
      <c r="Q504" s="191"/>
      <c r="R504" s="189"/>
      <c r="S504" s="53" t="str">
        <f t="shared" si="57"/>
        <v/>
      </c>
      <c r="T504" s="63" t="str">
        <f t="shared" si="58"/>
        <v/>
      </c>
      <c r="U504" s="64" t="str">
        <f>IF(OR(ISBLANK(Trades!R504), ISBLANK(Trades!H504), ISBLANK(Trades!I504)), "", IF(Trades!H504=Trades!I504, "N/A", (Trades!R504-Trades!H504)/(Trades!H504-Trades!I504)))</f>
        <v/>
      </c>
      <c r="V504" s="65" t="str">
        <f t="shared" si="59"/>
        <v/>
      </c>
      <c r="W504" s="66" t="str">
        <f t="shared" si="60"/>
        <v/>
      </c>
      <c r="X504" s="62" t="str">
        <f t="shared" si="61"/>
        <v/>
      </c>
      <c r="Y504" s="45"/>
      <c r="Z504" s="44"/>
      <c r="AA504" s="41"/>
      <c r="AB504" s="39"/>
      <c r="AC504" s="37" t="str">
        <f t="shared" si="62"/>
        <v/>
      </c>
    </row>
    <row r="505" spans="2:29" x14ac:dyDescent="0.25">
      <c r="B505" s="54">
        <v>499</v>
      </c>
      <c r="C505" s="168"/>
      <c r="D505" s="51"/>
      <c r="E505" s="29"/>
      <c r="F505" s="48"/>
      <c r="G505" s="29"/>
      <c r="H505" s="187"/>
      <c r="I505" s="187"/>
      <c r="J505" s="195"/>
      <c r="K505" s="86" t="str">
        <f t="shared" si="56"/>
        <v/>
      </c>
      <c r="L505" s="57" t="str">
        <f t="shared" si="63"/>
        <v/>
      </c>
      <c r="M505" s="186"/>
      <c r="N505" s="189"/>
      <c r="O505" s="190"/>
      <c r="P505" s="190" t="str">
        <f>IF(OR(ISBLANK(V505),COUNTBLANK(V505:$V$1048576)=ROWS(V505:$V$1048576)),"",$R$2*(1+SUM(V$7:V505)))</f>
        <v/>
      </c>
      <c r="Q505" s="191"/>
      <c r="R505" s="189"/>
      <c r="S505" s="53" t="str">
        <f t="shared" si="57"/>
        <v/>
      </c>
      <c r="T505" s="63" t="str">
        <f t="shared" si="58"/>
        <v/>
      </c>
      <c r="U505" s="64" t="str">
        <f>IF(OR(ISBLANK(Trades!R505), ISBLANK(Trades!H505), ISBLANK(Trades!I505)), "", IF(Trades!H505=Trades!I505, "N/A", (Trades!R505-Trades!H505)/(Trades!H505-Trades!I505)))</f>
        <v/>
      </c>
      <c r="V505" s="65" t="str">
        <f t="shared" si="59"/>
        <v/>
      </c>
      <c r="W505" s="66" t="str">
        <f t="shared" si="60"/>
        <v/>
      </c>
      <c r="X505" s="62" t="str">
        <f t="shared" si="61"/>
        <v/>
      </c>
      <c r="Y505" s="45"/>
      <c r="Z505" s="44"/>
      <c r="AA505" s="41"/>
      <c r="AB505" s="39"/>
      <c r="AC505" s="37" t="str">
        <f t="shared" si="62"/>
        <v/>
      </c>
    </row>
    <row r="506" spans="2:29" x14ac:dyDescent="0.25">
      <c r="B506" s="54">
        <v>500</v>
      </c>
      <c r="C506" s="168"/>
      <c r="D506" s="51"/>
      <c r="E506" s="29"/>
      <c r="F506" s="48"/>
      <c r="G506" s="29"/>
      <c r="H506" s="187"/>
      <c r="I506" s="187"/>
      <c r="J506" s="195"/>
      <c r="K506" s="86" t="str">
        <f t="shared" si="56"/>
        <v/>
      </c>
      <c r="L506" s="57" t="str">
        <f t="shared" si="63"/>
        <v/>
      </c>
      <c r="M506" s="186"/>
      <c r="N506" s="189"/>
      <c r="O506" s="190"/>
      <c r="P506" s="190" t="str">
        <f>IF(OR(ISBLANK(V506),COUNTBLANK(V506:$V$1048576)=ROWS(V506:$V$1048576)),"",$R$2*(1+SUM(V$7:V506)))</f>
        <v/>
      </c>
      <c r="Q506" s="191"/>
      <c r="R506" s="189"/>
      <c r="S506" s="53" t="str">
        <f t="shared" si="57"/>
        <v/>
      </c>
      <c r="T506" s="63" t="str">
        <f t="shared" si="58"/>
        <v/>
      </c>
      <c r="U506" s="64" t="str">
        <f>IF(OR(ISBLANK(Trades!R506), ISBLANK(Trades!H506), ISBLANK(Trades!I506)), "", IF(Trades!H506=Trades!I506, "N/A", (Trades!R506-Trades!H506)/(Trades!H506-Trades!I506)))</f>
        <v/>
      </c>
      <c r="V506" s="65" t="str">
        <f t="shared" si="59"/>
        <v/>
      </c>
      <c r="W506" s="66" t="str">
        <f t="shared" si="60"/>
        <v/>
      </c>
      <c r="X506" s="62" t="str">
        <f t="shared" si="61"/>
        <v/>
      </c>
      <c r="Y506" s="45"/>
      <c r="Z506" s="44"/>
      <c r="AA506" s="41"/>
      <c r="AB506" s="39"/>
      <c r="AC506" s="37" t="str">
        <f t="shared" si="62"/>
        <v/>
      </c>
    </row>
    <row r="507" spans="2:29" x14ac:dyDescent="0.25">
      <c r="B507" s="54">
        <v>501</v>
      </c>
      <c r="C507" s="168"/>
      <c r="D507" s="51"/>
      <c r="E507" s="29"/>
      <c r="F507" s="48"/>
      <c r="G507" s="29"/>
      <c r="H507" s="187"/>
      <c r="I507" s="187"/>
      <c r="J507" s="195"/>
      <c r="K507" s="86" t="str">
        <f t="shared" si="56"/>
        <v/>
      </c>
      <c r="L507" s="57" t="str">
        <f t="shared" si="63"/>
        <v/>
      </c>
      <c r="M507" s="186"/>
      <c r="N507" s="189"/>
      <c r="O507" s="190"/>
      <c r="P507" s="190" t="str">
        <f>IF(OR(ISBLANK(V507),COUNTBLANK(V507:$V$1048576)=ROWS(V507:$V$1048576)),"",$R$2*(1+SUM(V$7:V507)))</f>
        <v/>
      </c>
      <c r="Q507" s="191"/>
      <c r="R507" s="189"/>
      <c r="S507" s="53" t="str">
        <f t="shared" si="57"/>
        <v/>
      </c>
      <c r="T507" s="63" t="str">
        <f t="shared" si="58"/>
        <v/>
      </c>
      <c r="U507" s="64" t="str">
        <f>IF(OR(ISBLANK(Trades!R507), ISBLANK(Trades!H507), ISBLANK(Trades!I507)), "", IF(Trades!H507=Trades!I507, "N/A", (Trades!R507-Trades!H507)/(Trades!H507-Trades!I507)))</f>
        <v/>
      </c>
      <c r="V507" s="65" t="str">
        <f t="shared" si="59"/>
        <v/>
      </c>
      <c r="W507" s="66" t="str">
        <f t="shared" si="60"/>
        <v/>
      </c>
      <c r="X507" s="62" t="str">
        <f t="shared" si="61"/>
        <v/>
      </c>
      <c r="Y507" s="45"/>
      <c r="Z507" s="44"/>
      <c r="AA507" s="41"/>
      <c r="AB507" s="39"/>
      <c r="AC507" s="37" t="str">
        <f t="shared" si="62"/>
        <v/>
      </c>
    </row>
    <row r="508" spans="2:29" x14ac:dyDescent="0.25">
      <c r="B508" s="54">
        <v>502</v>
      </c>
      <c r="C508" s="168"/>
      <c r="D508" s="51"/>
      <c r="E508" s="29"/>
      <c r="F508" s="48"/>
      <c r="G508" s="29"/>
      <c r="H508" s="187"/>
      <c r="I508" s="187"/>
      <c r="J508" s="195"/>
      <c r="K508" s="86" t="str">
        <f t="shared" si="56"/>
        <v/>
      </c>
      <c r="L508" s="57" t="str">
        <f t="shared" si="63"/>
        <v/>
      </c>
      <c r="M508" s="186"/>
      <c r="N508" s="189"/>
      <c r="O508" s="190"/>
      <c r="P508" s="190" t="str">
        <f>IF(OR(ISBLANK(V508),COUNTBLANK(V508:$V$1048576)=ROWS(V508:$V$1048576)),"",$R$2*(1+SUM(V$7:V508)))</f>
        <v/>
      </c>
      <c r="Q508" s="191"/>
      <c r="R508" s="189"/>
      <c r="S508" s="53" t="str">
        <f t="shared" si="57"/>
        <v/>
      </c>
      <c r="T508" s="63" t="str">
        <f t="shared" si="58"/>
        <v/>
      </c>
      <c r="U508" s="64" t="str">
        <f>IF(OR(ISBLANK(Trades!R508), ISBLANK(Trades!H508), ISBLANK(Trades!I508)), "", IF(Trades!H508=Trades!I508, "N/A", (Trades!R508-Trades!H508)/(Trades!H508-Trades!I508)))</f>
        <v/>
      </c>
      <c r="V508" s="65" t="str">
        <f t="shared" si="59"/>
        <v/>
      </c>
      <c r="W508" s="66" t="str">
        <f t="shared" si="60"/>
        <v/>
      </c>
      <c r="X508" s="62" t="str">
        <f t="shared" si="61"/>
        <v/>
      </c>
      <c r="Y508" s="45"/>
      <c r="Z508" s="44"/>
      <c r="AA508" s="41"/>
      <c r="AB508" s="39"/>
      <c r="AC508" s="37" t="str">
        <f t="shared" si="62"/>
        <v/>
      </c>
    </row>
    <row r="509" spans="2:29" x14ac:dyDescent="0.25">
      <c r="B509" s="54">
        <v>503</v>
      </c>
      <c r="C509" s="168"/>
      <c r="D509" s="51"/>
      <c r="E509" s="29"/>
      <c r="F509" s="48"/>
      <c r="G509" s="29"/>
      <c r="H509" s="187"/>
      <c r="I509" s="187"/>
      <c r="J509" s="195"/>
      <c r="K509" s="86" t="str">
        <f t="shared" si="56"/>
        <v/>
      </c>
      <c r="L509" s="57" t="str">
        <f t="shared" si="63"/>
        <v/>
      </c>
      <c r="M509" s="186"/>
      <c r="N509" s="189"/>
      <c r="O509" s="190"/>
      <c r="P509" s="190" t="str">
        <f>IF(OR(ISBLANK(V509),COUNTBLANK(V509:$V$1048576)=ROWS(V509:$V$1048576)),"",$R$2*(1+SUM(V$7:V509)))</f>
        <v/>
      </c>
      <c r="Q509" s="191"/>
      <c r="R509" s="189"/>
      <c r="S509" s="53" t="str">
        <f t="shared" si="57"/>
        <v/>
      </c>
      <c r="T509" s="63" t="str">
        <f t="shared" si="58"/>
        <v/>
      </c>
      <c r="U509" s="64" t="str">
        <f>IF(OR(ISBLANK(Trades!R509), ISBLANK(Trades!H509), ISBLANK(Trades!I509)), "", IF(Trades!H509=Trades!I509, "N/A", (Trades!R509-Trades!H509)/(Trades!H509-Trades!I509)))</f>
        <v/>
      </c>
      <c r="V509" s="65" t="str">
        <f t="shared" si="59"/>
        <v/>
      </c>
      <c r="W509" s="66" t="str">
        <f t="shared" si="60"/>
        <v/>
      </c>
      <c r="X509" s="62" t="str">
        <f t="shared" si="61"/>
        <v/>
      </c>
      <c r="Y509" s="45"/>
      <c r="Z509" s="44"/>
      <c r="AA509" s="41"/>
      <c r="AB509" s="39"/>
      <c r="AC509" s="37" t="str">
        <f t="shared" si="62"/>
        <v/>
      </c>
    </row>
    <row r="510" spans="2:29" x14ac:dyDescent="0.25">
      <c r="B510" s="54">
        <v>504</v>
      </c>
      <c r="C510" s="168"/>
      <c r="D510" s="51"/>
      <c r="E510" s="29"/>
      <c r="F510" s="48"/>
      <c r="G510" s="29"/>
      <c r="H510" s="187"/>
      <c r="I510" s="187"/>
      <c r="J510" s="195"/>
      <c r="K510" s="86" t="str">
        <f t="shared" si="56"/>
        <v/>
      </c>
      <c r="L510" s="57" t="str">
        <f t="shared" si="63"/>
        <v/>
      </c>
      <c r="M510" s="186"/>
      <c r="N510" s="189"/>
      <c r="O510" s="190"/>
      <c r="P510" s="190" t="str">
        <f>IF(OR(ISBLANK(V510),COUNTBLANK(V510:$V$1048576)=ROWS(V510:$V$1048576)),"",$R$2*(1+SUM(V$7:V510)))</f>
        <v/>
      </c>
      <c r="Q510" s="191"/>
      <c r="R510" s="189"/>
      <c r="S510" s="53" t="str">
        <f t="shared" si="57"/>
        <v/>
      </c>
      <c r="T510" s="63" t="str">
        <f t="shared" si="58"/>
        <v/>
      </c>
      <c r="U510" s="64" t="str">
        <f>IF(OR(ISBLANK(Trades!R510), ISBLANK(Trades!H510), ISBLANK(Trades!I510)), "", IF(Trades!H510=Trades!I510, "N/A", (Trades!R510-Trades!H510)/(Trades!H510-Trades!I510)))</f>
        <v/>
      </c>
      <c r="V510" s="65" t="str">
        <f t="shared" si="59"/>
        <v/>
      </c>
      <c r="W510" s="66" t="str">
        <f t="shared" si="60"/>
        <v/>
      </c>
      <c r="X510" s="62" t="str">
        <f t="shared" si="61"/>
        <v/>
      </c>
      <c r="Y510" s="45"/>
      <c r="Z510" s="44"/>
      <c r="AA510" s="41"/>
      <c r="AB510" s="39"/>
      <c r="AC510" s="37" t="str">
        <f t="shared" si="62"/>
        <v/>
      </c>
    </row>
    <row r="511" spans="2:29" x14ac:dyDescent="0.25">
      <c r="B511" s="54">
        <v>505</v>
      </c>
      <c r="C511" s="168"/>
      <c r="D511" s="51"/>
      <c r="E511" s="29"/>
      <c r="F511" s="48"/>
      <c r="G511" s="29"/>
      <c r="H511" s="187"/>
      <c r="I511" s="187"/>
      <c r="J511" s="195"/>
      <c r="K511" s="86" t="str">
        <f t="shared" si="56"/>
        <v/>
      </c>
      <c r="L511" s="57" t="str">
        <f t="shared" si="63"/>
        <v/>
      </c>
      <c r="M511" s="186"/>
      <c r="N511" s="189"/>
      <c r="O511" s="190"/>
      <c r="P511" s="190" t="str">
        <f>IF(OR(ISBLANK(V511),COUNTBLANK(V511:$V$1048576)=ROWS(V511:$V$1048576)),"",$R$2*(1+SUM(V$7:V511)))</f>
        <v/>
      </c>
      <c r="Q511" s="191"/>
      <c r="R511" s="189"/>
      <c r="S511" s="53" t="str">
        <f t="shared" si="57"/>
        <v/>
      </c>
      <c r="T511" s="63" t="str">
        <f t="shared" si="58"/>
        <v/>
      </c>
      <c r="U511" s="64" t="str">
        <f>IF(OR(ISBLANK(Trades!R511), ISBLANK(Trades!H511), ISBLANK(Trades!I511)), "", IF(Trades!H511=Trades!I511, "N/A", (Trades!R511-Trades!H511)/(Trades!H511-Trades!I511)))</f>
        <v/>
      </c>
      <c r="V511" s="65" t="str">
        <f t="shared" si="59"/>
        <v/>
      </c>
      <c r="W511" s="66" t="str">
        <f t="shared" si="60"/>
        <v/>
      </c>
      <c r="X511" s="62" t="str">
        <f t="shared" si="61"/>
        <v/>
      </c>
      <c r="Y511" s="45"/>
      <c r="Z511" s="44"/>
      <c r="AA511" s="41"/>
      <c r="AB511" s="39"/>
      <c r="AC511" s="37" t="str">
        <f t="shared" si="62"/>
        <v/>
      </c>
    </row>
    <row r="512" spans="2:29" x14ac:dyDescent="0.25">
      <c r="B512" s="54">
        <v>506</v>
      </c>
      <c r="C512" s="168"/>
      <c r="D512" s="51"/>
      <c r="E512" s="29"/>
      <c r="F512" s="48"/>
      <c r="G512" s="29"/>
      <c r="H512" s="187"/>
      <c r="I512" s="187"/>
      <c r="J512" s="195"/>
      <c r="K512" s="86" t="str">
        <f t="shared" si="56"/>
        <v/>
      </c>
      <c r="L512" s="57" t="str">
        <f t="shared" si="63"/>
        <v/>
      </c>
      <c r="M512" s="186"/>
      <c r="N512" s="189"/>
      <c r="O512" s="190"/>
      <c r="P512" s="190" t="str">
        <f>IF(OR(ISBLANK(V512),COUNTBLANK(V512:$V$1048576)=ROWS(V512:$V$1048576)),"",$R$2*(1+SUM(V$7:V512)))</f>
        <v/>
      </c>
      <c r="Q512" s="191"/>
      <c r="R512" s="189"/>
      <c r="S512" s="53" t="str">
        <f t="shared" si="57"/>
        <v/>
      </c>
      <c r="T512" s="63" t="str">
        <f t="shared" si="58"/>
        <v/>
      </c>
      <c r="U512" s="64" t="str">
        <f>IF(OR(ISBLANK(Trades!R512), ISBLANK(Trades!H512), ISBLANK(Trades!I512)), "", IF(Trades!H512=Trades!I512, "N/A", (Trades!R512-Trades!H512)/(Trades!H512-Trades!I512)))</f>
        <v/>
      </c>
      <c r="V512" s="65" t="str">
        <f t="shared" si="59"/>
        <v/>
      </c>
      <c r="W512" s="66" t="str">
        <f t="shared" si="60"/>
        <v/>
      </c>
      <c r="X512" s="62" t="str">
        <f t="shared" si="61"/>
        <v/>
      </c>
      <c r="Y512" s="45"/>
      <c r="Z512" s="44"/>
      <c r="AA512" s="41"/>
      <c r="AB512" s="39"/>
      <c r="AC512" s="37" t="str">
        <f t="shared" si="62"/>
        <v/>
      </c>
    </row>
    <row r="513" spans="2:29" x14ac:dyDescent="0.25">
      <c r="B513" s="54">
        <v>507</v>
      </c>
      <c r="C513" s="168"/>
      <c r="D513" s="51"/>
      <c r="E513" s="29"/>
      <c r="F513" s="48"/>
      <c r="G513" s="29"/>
      <c r="H513" s="187"/>
      <c r="I513" s="187"/>
      <c r="J513" s="195"/>
      <c r="K513" s="86" t="str">
        <f t="shared" si="56"/>
        <v/>
      </c>
      <c r="L513" s="57" t="str">
        <f t="shared" si="63"/>
        <v/>
      </c>
      <c r="M513" s="186"/>
      <c r="N513" s="189"/>
      <c r="O513" s="190"/>
      <c r="P513" s="190" t="str">
        <f>IF(OR(ISBLANK(V513),COUNTBLANK(V513:$V$1048576)=ROWS(V513:$V$1048576)),"",$R$2*(1+SUM(V$7:V513)))</f>
        <v/>
      </c>
      <c r="Q513" s="191"/>
      <c r="R513" s="189"/>
      <c r="S513" s="53" t="str">
        <f t="shared" si="57"/>
        <v/>
      </c>
      <c r="T513" s="63" t="str">
        <f t="shared" si="58"/>
        <v/>
      </c>
      <c r="U513" s="64" t="str">
        <f>IF(OR(ISBLANK(Trades!R513), ISBLANK(Trades!H513), ISBLANK(Trades!I513)), "", IF(Trades!H513=Trades!I513, "N/A", (Trades!R513-Trades!H513)/(Trades!H513-Trades!I513)))</f>
        <v/>
      </c>
      <c r="V513" s="65" t="str">
        <f t="shared" si="59"/>
        <v/>
      </c>
      <c r="W513" s="66" t="str">
        <f t="shared" si="60"/>
        <v/>
      </c>
      <c r="X513" s="62" t="str">
        <f t="shared" si="61"/>
        <v/>
      </c>
      <c r="Y513" s="45"/>
      <c r="Z513" s="44"/>
      <c r="AA513" s="41"/>
      <c r="AB513" s="39"/>
      <c r="AC513" s="37" t="str">
        <f t="shared" si="62"/>
        <v/>
      </c>
    </row>
    <row r="514" spans="2:29" x14ac:dyDescent="0.25">
      <c r="B514" s="54">
        <v>508</v>
      </c>
      <c r="C514" s="168"/>
      <c r="D514" s="51"/>
      <c r="E514" s="29"/>
      <c r="F514" s="48"/>
      <c r="G514" s="29"/>
      <c r="H514" s="187"/>
      <c r="I514" s="187"/>
      <c r="J514" s="195"/>
      <c r="K514" s="86" t="str">
        <f t="shared" si="56"/>
        <v/>
      </c>
      <c r="L514" s="57" t="str">
        <f t="shared" si="63"/>
        <v/>
      </c>
      <c r="M514" s="186"/>
      <c r="N514" s="189"/>
      <c r="O514" s="190"/>
      <c r="P514" s="190" t="str">
        <f>IF(OR(ISBLANK(V514),COUNTBLANK(V514:$V$1048576)=ROWS(V514:$V$1048576)),"",$R$2*(1+SUM(V$7:V514)))</f>
        <v/>
      </c>
      <c r="Q514" s="191"/>
      <c r="R514" s="189"/>
      <c r="S514" s="53" t="str">
        <f t="shared" si="57"/>
        <v/>
      </c>
      <c r="T514" s="63" t="str">
        <f t="shared" si="58"/>
        <v/>
      </c>
      <c r="U514" s="64" t="str">
        <f>IF(OR(ISBLANK(Trades!R514), ISBLANK(Trades!H514), ISBLANK(Trades!I514)), "", IF(Trades!H514=Trades!I514, "N/A", (Trades!R514-Trades!H514)/(Trades!H514-Trades!I514)))</f>
        <v/>
      </c>
      <c r="V514" s="65" t="str">
        <f t="shared" si="59"/>
        <v/>
      </c>
      <c r="W514" s="66" t="str">
        <f t="shared" si="60"/>
        <v/>
      </c>
      <c r="X514" s="62" t="str">
        <f t="shared" si="61"/>
        <v/>
      </c>
      <c r="Y514" s="45"/>
      <c r="Z514" s="44"/>
      <c r="AA514" s="41"/>
      <c r="AB514" s="39"/>
      <c r="AC514" s="37" t="str">
        <f t="shared" si="62"/>
        <v/>
      </c>
    </row>
    <row r="515" spans="2:29" x14ac:dyDescent="0.25">
      <c r="B515" s="54">
        <v>509</v>
      </c>
      <c r="C515" s="168"/>
      <c r="D515" s="51"/>
      <c r="E515" s="29"/>
      <c r="F515" s="48"/>
      <c r="G515" s="29"/>
      <c r="H515" s="187"/>
      <c r="I515" s="187"/>
      <c r="J515" s="195"/>
      <c r="K515" s="86" t="str">
        <f t="shared" si="56"/>
        <v/>
      </c>
      <c r="L515" s="57" t="str">
        <f t="shared" si="63"/>
        <v/>
      </c>
      <c r="M515" s="186"/>
      <c r="N515" s="189"/>
      <c r="O515" s="190"/>
      <c r="P515" s="190" t="str">
        <f>IF(OR(ISBLANK(V515),COUNTBLANK(V515:$V$1048576)=ROWS(V515:$V$1048576)),"",$R$2*(1+SUM(V$7:V515)))</f>
        <v/>
      </c>
      <c r="Q515" s="191"/>
      <c r="R515" s="189"/>
      <c r="S515" s="53" t="str">
        <f t="shared" si="57"/>
        <v/>
      </c>
      <c r="T515" s="63" t="str">
        <f t="shared" si="58"/>
        <v/>
      </c>
      <c r="U515" s="64" t="str">
        <f>IF(OR(ISBLANK(Trades!R515), ISBLANK(Trades!H515), ISBLANK(Trades!I515)), "", IF(Trades!H515=Trades!I515, "N/A", (Trades!R515-Trades!H515)/(Trades!H515-Trades!I515)))</f>
        <v/>
      </c>
      <c r="V515" s="65" t="str">
        <f t="shared" si="59"/>
        <v/>
      </c>
      <c r="W515" s="66" t="str">
        <f t="shared" si="60"/>
        <v/>
      </c>
      <c r="X515" s="62" t="str">
        <f t="shared" si="61"/>
        <v/>
      </c>
      <c r="Y515" s="45"/>
      <c r="Z515" s="44"/>
      <c r="AA515" s="41"/>
      <c r="AB515" s="39"/>
      <c r="AC515" s="37" t="str">
        <f t="shared" si="62"/>
        <v/>
      </c>
    </row>
    <row r="516" spans="2:29" x14ac:dyDescent="0.25">
      <c r="B516" s="54">
        <v>510</v>
      </c>
      <c r="C516" s="168"/>
      <c r="D516" s="51"/>
      <c r="E516" s="29"/>
      <c r="F516" s="48"/>
      <c r="G516" s="29"/>
      <c r="H516" s="187"/>
      <c r="I516" s="187"/>
      <c r="J516" s="195"/>
      <c r="K516" s="86" t="str">
        <f t="shared" si="56"/>
        <v/>
      </c>
      <c r="L516" s="57" t="str">
        <f t="shared" si="63"/>
        <v/>
      </c>
      <c r="M516" s="186"/>
      <c r="N516" s="189"/>
      <c r="O516" s="190"/>
      <c r="P516" s="190" t="str">
        <f>IF(OR(ISBLANK(V516),COUNTBLANK(V516:$V$1048576)=ROWS(V516:$V$1048576)),"",$R$2*(1+SUM(V$7:V516)))</f>
        <v/>
      </c>
      <c r="Q516" s="191"/>
      <c r="R516" s="189"/>
      <c r="S516" s="53" t="str">
        <f t="shared" si="57"/>
        <v/>
      </c>
      <c r="T516" s="63" t="str">
        <f t="shared" si="58"/>
        <v/>
      </c>
      <c r="U516" s="64" t="str">
        <f>IF(OR(ISBLANK(Trades!R516), ISBLANK(Trades!H516), ISBLANK(Trades!I516)), "", IF(Trades!H516=Trades!I516, "N/A", (Trades!R516-Trades!H516)/(Trades!H516-Trades!I516)))</f>
        <v/>
      </c>
      <c r="V516" s="65" t="str">
        <f t="shared" si="59"/>
        <v/>
      </c>
      <c r="W516" s="66" t="str">
        <f t="shared" si="60"/>
        <v/>
      </c>
      <c r="X516" s="62" t="str">
        <f t="shared" si="61"/>
        <v/>
      </c>
      <c r="Y516" s="45"/>
      <c r="Z516" s="44"/>
      <c r="AA516" s="41"/>
      <c r="AB516" s="39"/>
      <c r="AC516" s="37" t="str">
        <f t="shared" si="62"/>
        <v/>
      </c>
    </row>
    <row r="517" spans="2:29" x14ac:dyDescent="0.25">
      <c r="B517" s="54">
        <v>511</v>
      </c>
      <c r="C517" s="168"/>
      <c r="D517" s="51"/>
      <c r="E517" s="29"/>
      <c r="F517" s="48"/>
      <c r="G517" s="29"/>
      <c r="H517" s="187"/>
      <c r="I517" s="187"/>
      <c r="J517" s="195"/>
      <c r="K517" s="86" t="str">
        <f t="shared" si="56"/>
        <v/>
      </c>
      <c r="L517" s="57" t="str">
        <f t="shared" si="63"/>
        <v/>
      </c>
      <c r="M517" s="186"/>
      <c r="N517" s="189"/>
      <c r="O517" s="190"/>
      <c r="P517" s="190" t="str">
        <f>IF(OR(ISBLANK(V517),COUNTBLANK(V517:$V$1048576)=ROWS(V517:$V$1048576)),"",$R$2*(1+SUM(V$7:V517)))</f>
        <v/>
      </c>
      <c r="Q517" s="191"/>
      <c r="R517" s="189"/>
      <c r="S517" s="53" t="str">
        <f t="shared" si="57"/>
        <v/>
      </c>
      <c r="T517" s="63" t="str">
        <f t="shared" si="58"/>
        <v/>
      </c>
      <c r="U517" s="64" t="str">
        <f>IF(OR(ISBLANK(Trades!R517), ISBLANK(Trades!H517), ISBLANK(Trades!I517)), "", IF(Trades!H517=Trades!I517, "N/A", (Trades!R517-Trades!H517)/(Trades!H517-Trades!I517)))</f>
        <v/>
      </c>
      <c r="V517" s="65" t="str">
        <f t="shared" si="59"/>
        <v/>
      </c>
      <c r="W517" s="66" t="str">
        <f t="shared" si="60"/>
        <v/>
      </c>
      <c r="X517" s="62" t="str">
        <f t="shared" si="61"/>
        <v/>
      </c>
      <c r="Y517" s="45"/>
      <c r="Z517" s="44"/>
      <c r="AA517" s="41"/>
      <c r="AB517" s="39"/>
      <c r="AC517" s="37" t="str">
        <f t="shared" si="62"/>
        <v/>
      </c>
    </row>
    <row r="518" spans="2:29" x14ac:dyDescent="0.25">
      <c r="B518" s="54">
        <v>512</v>
      </c>
      <c r="C518" s="168"/>
      <c r="D518" s="51"/>
      <c r="E518" s="29"/>
      <c r="F518" s="48"/>
      <c r="G518" s="29"/>
      <c r="H518" s="187"/>
      <c r="I518" s="187"/>
      <c r="J518" s="195"/>
      <c r="K518" s="86" t="str">
        <f t="shared" si="56"/>
        <v/>
      </c>
      <c r="L518" s="57" t="str">
        <f t="shared" si="63"/>
        <v/>
      </c>
      <c r="M518" s="186"/>
      <c r="N518" s="189"/>
      <c r="O518" s="190"/>
      <c r="P518" s="190" t="str">
        <f>IF(OR(ISBLANK(V518),COUNTBLANK(V518:$V$1048576)=ROWS(V518:$V$1048576)),"",$R$2*(1+SUM(V$7:V518)))</f>
        <v/>
      </c>
      <c r="Q518" s="191"/>
      <c r="R518" s="189"/>
      <c r="S518" s="53" t="str">
        <f t="shared" si="57"/>
        <v/>
      </c>
      <c r="T518" s="63" t="str">
        <f t="shared" si="58"/>
        <v/>
      </c>
      <c r="U518" s="64" t="str">
        <f>IF(OR(ISBLANK(Trades!R518), ISBLANK(Trades!H518), ISBLANK(Trades!I518)), "", IF(Trades!H518=Trades!I518, "N/A", (Trades!R518-Trades!H518)/(Trades!H518-Trades!I518)))</f>
        <v/>
      </c>
      <c r="V518" s="65" t="str">
        <f t="shared" si="59"/>
        <v/>
      </c>
      <c r="W518" s="66" t="str">
        <f t="shared" si="60"/>
        <v/>
      </c>
      <c r="X518" s="62" t="str">
        <f t="shared" si="61"/>
        <v/>
      </c>
      <c r="Y518" s="45"/>
      <c r="Z518" s="44"/>
      <c r="AA518" s="41"/>
      <c r="AB518" s="39"/>
      <c r="AC518" s="37" t="str">
        <f t="shared" si="62"/>
        <v/>
      </c>
    </row>
    <row r="519" spans="2:29" x14ac:dyDescent="0.25">
      <c r="B519" s="54">
        <v>513</v>
      </c>
      <c r="C519" s="168"/>
      <c r="D519" s="51"/>
      <c r="E519" s="29"/>
      <c r="F519" s="48"/>
      <c r="G519" s="29"/>
      <c r="H519" s="187"/>
      <c r="I519" s="187"/>
      <c r="J519" s="195"/>
      <c r="K519" s="86" t="str">
        <f t="shared" ref="K519:K582" si="64">IF(OR(ISBLANK(H519),ISBLANK(I519)),"",IF(H519 &lt; I519, "SHORT", IF(H519 &gt; I519, "LONG", "")))</f>
        <v/>
      </c>
      <c r="L519" s="57" t="str">
        <f t="shared" si="63"/>
        <v/>
      </c>
      <c r="M519" s="186"/>
      <c r="N519" s="189"/>
      <c r="O519" s="190"/>
      <c r="P519" s="190" t="str">
        <f>IF(OR(ISBLANK(V519),COUNTBLANK(V519:$V$1048576)=ROWS(V519:$V$1048576)),"",$R$2*(1+SUM(V$7:V519)))</f>
        <v/>
      </c>
      <c r="Q519" s="191"/>
      <c r="R519" s="189"/>
      <c r="S519" s="53" t="str">
        <f t="shared" ref="S519:S582" si="65">IF(COUNTIFS($C$7:$C$1000, "&lt;="&amp;C519, $X$7:$X$1000, "Win") = 0, "", IF(COUNTIFS($C$7:$C$1000, "&lt;="&amp;C519, $X$7:$X$1000, "&lt;&gt;"&amp;"") = 0, "", COUNTIFS($C$7:$C$1000, "&lt;="&amp;C519, $X$7:$X$1000, "Win")/COUNTIFS($C$7:$C$1000, "&lt;="&amp;C519, $X$7:$X$1000, "&lt;&gt;"&amp;"")))</f>
        <v/>
      </c>
      <c r="T519" s="63" t="str">
        <f t="shared" ref="T519:T582" si="66">IF(ISBLANK(R519),IF(ISBLANK(H519),"","Open"),"Closed")</f>
        <v/>
      </c>
      <c r="U519" s="64" t="str">
        <f>IF(OR(ISBLANK(Trades!R519), ISBLANK(Trades!H519), ISBLANK(Trades!I519)), "", IF(Trades!H519=Trades!I519, "N/A", (Trades!R519-Trades!H519)/(Trades!H519-Trades!I519)))</f>
        <v/>
      </c>
      <c r="V519" s="65" t="str">
        <f t="shared" ref="V519:V582" si="67">IF(U519="","",U519*F519)</f>
        <v/>
      </c>
      <c r="W519" s="66" t="str">
        <f t="shared" ref="W519:W582" si="68">IF(ISBLANK(R519),"",IF(H519&gt;I519,IF(I519&gt;=R519,"SL Hit",IF(O519&lt;&gt;"","PT3 Hit",IF(N519&lt;&gt;"","PT2 Hit",IF(M519&lt;&gt;"","PT1 Hit","")))),IF(I519&lt;=R519,"SL Hit",IF(O519&lt;&gt;"","PT3 Hit",IF(N519&lt;&gt;"","PT2 Hit",IF(M519&lt;&gt;"","PT1 Hit",""))))))</f>
        <v/>
      </c>
      <c r="X519" s="62" t="str">
        <f t="shared" ref="X519:X582" si="69">IF(ISBLANK(R519),"",IF(H519&gt;I519, IF(R519&gt;=H519, "Win", "Loss"), IF(R519&lt;=H519, "Win", "Loss")))</f>
        <v/>
      </c>
      <c r="Y519" s="45"/>
      <c r="Z519" s="44"/>
      <c r="AA519" s="41"/>
      <c r="AB519" s="39"/>
      <c r="AC519" s="37" t="str">
        <f t="shared" ref="AC519:AC582" si="70">IFERROR(COUNTIFS($C$7:$C$1000,"&gt;="&amp;DATE(YEAR(C519),MONTH(C519),1),$C$7:$C$1000,"&lt;="&amp;EOMONTH(C519,0),$X$7:$X$1000,"Win")/COUNTIFS($C$7:$C$1000,"&gt;="&amp;DATE(YEAR(C519),MONTH(C519),1),$C$7:$C$1000,"&lt;="&amp;EOMONTH(C519,0)),"")</f>
        <v/>
      </c>
    </row>
    <row r="520" spans="2:29" x14ac:dyDescent="0.25">
      <c r="B520" s="54">
        <v>514</v>
      </c>
      <c r="C520" s="168"/>
      <c r="D520" s="51"/>
      <c r="E520" s="29"/>
      <c r="F520" s="48"/>
      <c r="G520" s="29"/>
      <c r="H520" s="187"/>
      <c r="I520" s="187"/>
      <c r="J520" s="195"/>
      <c r="K520" s="86" t="str">
        <f t="shared" si="64"/>
        <v/>
      </c>
      <c r="L520" s="57" t="str">
        <f t="shared" si="63"/>
        <v/>
      </c>
      <c r="M520" s="186"/>
      <c r="N520" s="189"/>
      <c r="O520" s="190"/>
      <c r="P520" s="190" t="str">
        <f>IF(OR(ISBLANK(V520),COUNTBLANK(V520:$V$1048576)=ROWS(V520:$V$1048576)),"",$R$2*(1+SUM(V$7:V520)))</f>
        <v/>
      </c>
      <c r="Q520" s="191"/>
      <c r="R520" s="189"/>
      <c r="S520" s="53" t="str">
        <f t="shared" si="65"/>
        <v/>
      </c>
      <c r="T520" s="63" t="str">
        <f t="shared" si="66"/>
        <v/>
      </c>
      <c r="U520" s="64" t="str">
        <f>IF(OR(ISBLANK(Trades!R520), ISBLANK(Trades!H520), ISBLANK(Trades!I520)), "", IF(Trades!H520=Trades!I520, "N/A", (Trades!R520-Trades!H520)/(Trades!H520-Trades!I520)))</f>
        <v/>
      </c>
      <c r="V520" s="65" t="str">
        <f t="shared" si="67"/>
        <v/>
      </c>
      <c r="W520" s="66" t="str">
        <f t="shared" si="68"/>
        <v/>
      </c>
      <c r="X520" s="62" t="str">
        <f t="shared" si="69"/>
        <v/>
      </c>
      <c r="Y520" s="45"/>
      <c r="Z520" s="44"/>
      <c r="AA520" s="41"/>
      <c r="AB520" s="39"/>
      <c r="AC520" s="37" t="str">
        <f t="shared" si="70"/>
        <v/>
      </c>
    </row>
    <row r="521" spans="2:29" x14ac:dyDescent="0.25">
      <c r="B521" s="54">
        <v>515</v>
      </c>
      <c r="C521" s="168"/>
      <c r="D521" s="51"/>
      <c r="E521" s="29"/>
      <c r="F521" s="48"/>
      <c r="G521" s="29"/>
      <c r="H521" s="187"/>
      <c r="I521" s="187"/>
      <c r="J521" s="195"/>
      <c r="K521" s="86" t="str">
        <f t="shared" si="64"/>
        <v/>
      </c>
      <c r="L521" s="57" t="str">
        <f t="shared" si="63"/>
        <v/>
      </c>
      <c r="M521" s="186"/>
      <c r="N521" s="189"/>
      <c r="O521" s="190"/>
      <c r="P521" s="190" t="str">
        <f>IF(OR(ISBLANK(V521),COUNTBLANK(V521:$V$1048576)=ROWS(V521:$V$1048576)),"",$R$2*(1+SUM(V$7:V521)))</f>
        <v/>
      </c>
      <c r="Q521" s="191"/>
      <c r="R521" s="189"/>
      <c r="S521" s="53" t="str">
        <f t="shared" si="65"/>
        <v/>
      </c>
      <c r="T521" s="63" t="str">
        <f t="shared" si="66"/>
        <v/>
      </c>
      <c r="U521" s="64" t="str">
        <f>IF(OR(ISBLANK(Trades!R521), ISBLANK(Trades!H521), ISBLANK(Trades!I521)), "", IF(Trades!H521=Trades!I521, "N/A", (Trades!R521-Trades!H521)/(Trades!H521-Trades!I521)))</f>
        <v/>
      </c>
      <c r="V521" s="65" t="str">
        <f t="shared" si="67"/>
        <v/>
      </c>
      <c r="W521" s="66" t="str">
        <f t="shared" si="68"/>
        <v/>
      </c>
      <c r="X521" s="62" t="str">
        <f t="shared" si="69"/>
        <v/>
      </c>
      <c r="Y521" s="45"/>
      <c r="Z521" s="44"/>
      <c r="AA521" s="41"/>
      <c r="AB521" s="39"/>
      <c r="AC521" s="37" t="str">
        <f t="shared" si="70"/>
        <v/>
      </c>
    </row>
    <row r="522" spans="2:29" x14ac:dyDescent="0.25">
      <c r="B522" s="54">
        <v>516</v>
      </c>
      <c r="C522" s="168"/>
      <c r="D522" s="51"/>
      <c r="E522" s="29"/>
      <c r="F522" s="48"/>
      <c r="G522" s="29"/>
      <c r="H522" s="187"/>
      <c r="I522" s="187"/>
      <c r="J522" s="195"/>
      <c r="K522" s="86" t="str">
        <f t="shared" si="64"/>
        <v/>
      </c>
      <c r="L522" s="57" t="str">
        <f t="shared" si="63"/>
        <v/>
      </c>
      <c r="M522" s="186"/>
      <c r="N522" s="189"/>
      <c r="O522" s="190"/>
      <c r="P522" s="190" t="str">
        <f>IF(OR(ISBLANK(V522),COUNTBLANK(V522:$V$1048576)=ROWS(V522:$V$1048576)),"",$R$2*(1+SUM(V$7:V522)))</f>
        <v/>
      </c>
      <c r="Q522" s="191"/>
      <c r="R522" s="189"/>
      <c r="S522" s="53" t="str">
        <f t="shared" si="65"/>
        <v/>
      </c>
      <c r="T522" s="63" t="str">
        <f t="shared" si="66"/>
        <v/>
      </c>
      <c r="U522" s="64" t="str">
        <f>IF(OR(ISBLANK(Trades!R522), ISBLANK(Trades!H522), ISBLANK(Trades!I522)), "", IF(Trades!H522=Trades!I522, "N/A", (Trades!R522-Trades!H522)/(Trades!H522-Trades!I522)))</f>
        <v/>
      </c>
      <c r="V522" s="65" t="str">
        <f t="shared" si="67"/>
        <v/>
      </c>
      <c r="W522" s="66" t="str">
        <f t="shared" si="68"/>
        <v/>
      </c>
      <c r="X522" s="62" t="str">
        <f t="shared" si="69"/>
        <v/>
      </c>
      <c r="Y522" s="45"/>
      <c r="Z522" s="44"/>
      <c r="AA522" s="41"/>
      <c r="AB522" s="39"/>
      <c r="AC522" s="37" t="str">
        <f t="shared" si="70"/>
        <v/>
      </c>
    </row>
    <row r="523" spans="2:29" x14ac:dyDescent="0.25">
      <c r="B523" s="54">
        <v>517</v>
      </c>
      <c r="C523" s="168"/>
      <c r="D523" s="51"/>
      <c r="E523" s="29"/>
      <c r="F523" s="48"/>
      <c r="G523" s="29"/>
      <c r="H523" s="187"/>
      <c r="I523" s="187"/>
      <c r="J523" s="195"/>
      <c r="K523" s="86" t="str">
        <f t="shared" si="64"/>
        <v/>
      </c>
      <c r="L523" s="57" t="str">
        <f t="shared" si="63"/>
        <v/>
      </c>
      <c r="M523" s="186"/>
      <c r="N523" s="189"/>
      <c r="O523" s="190"/>
      <c r="P523" s="190" t="str">
        <f>IF(OR(ISBLANK(V523),COUNTBLANK(V523:$V$1048576)=ROWS(V523:$V$1048576)),"",$R$2*(1+SUM(V$7:V523)))</f>
        <v/>
      </c>
      <c r="Q523" s="191"/>
      <c r="R523" s="189"/>
      <c r="S523" s="53" t="str">
        <f t="shared" si="65"/>
        <v/>
      </c>
      <c r="T523" s="63" t="str">
        <f t="shared" si="66"/>
        <v/>
      </c>
      <c r="U523" s="64" t="str">
        <f>IF(OR(ISBLANK(Trades!R523), ISBLANK(Trades!H523), ISBLANK(Trades!I523)), "", IF(Trades!H523=Trades!I523, "N/A", (Trades!R523-Trades!H523)/(Trades!H523-Trades!I523)))</f>
        <v/>
      </c>
      <c r="V523" s="65" t="str">
        <f t="shared" si="67"/>
        <v/>
      </c>
      <c r="W523" s="66" t="str">
        <f t="shared" si="68"/>
        <v/>
      </c>
      <c r="X523" s="62" t="str">
        <f t="shared" si="69"/>
        <v/>
      </c>
      <c r="Y523" s="45"/>
      <c r="Z523" s="44"/>
      <c r="AA523" s="41"/>
      <c r="AB523" s="39"/>
      <c r="AC523" s="37" t="str">
        <f t="shared" si="70"/>
        <v/>
      </c>
    </row>
    <row r="524" spans="2:29" x14ac:dyDescent="0.25">
      <c r="B524" s="54">
        <v>518</v>
      </c>
      <c r="C524" s="168"/>
      <c r="D524" s="51"/>
      <c r="E524" s="29"/>
      <c r="F524" s="48"/>
      <c r="G524" s="29"/>
      <c r="H524" s="187"/>
      <c r="I524" s="187"/>
      <c r="J524" s="195"/>
      <c r="K524" s="86" t="str">
        <f t="shared" si="64"/>
        <v/>
      </c>
      <c r="L524" s="57" t="str">
        <f t="shared" ref="L524:L587" si="71">IF(OR(ISBLANK(J524),ISBLANK(H524),ISBLANK(I524)),"",ABS(J524-H524)/ABS(H524-I524))</f>
        <v/>
      </c>
      <c r="M524" s="186"/>
      <c r="N524" s="189"/>
      <c r="O524" s="190"/>
      <c r="P524" s="190" t="str">
        <f>IF(OR(ISBLANK(V524),COUNTBLANK(V524:$V$1048576)=ROWS(V524:$V$1048576)),"",$R$2*(1+SUM(V$7:V524)))</f>
        <v/>
      </c>
      <c r="Q524" s="191"/>
      <c r="R524" s="189"/>
      <c r="S524" s="53" t="str">
        <f t="shared" si="65"/>
        <v/>
      </c>
      <c r="T524" s="63" t="str">
        <f t="shared" si="66"/>
        <v/>
      </c>
      <c r="U524" s="64" t="str">
        <f>IF(OR(ISBLANK(Trades!R524), ISBLANK(Trades!H524), ISBLANK(Trades!I524)), "", IF(Trades!H524=Trades!I524, "N/A", (Trades!R524-Trades!H524)/(Trades!H524-Trades!I524)))</f>
        <v/>
      </c>
      <c r="V524" s="65" t="str">
        <f t="shared" si="67"/>
        <v/>
      </c>
      <c r="W524" s="66" t="str">
        <f t="shared" si="68"/>
        <v/>
      </c>
      <c r="X524" s="62" t="str">
        <f t="shared" si="69"/>
        <v/>
      </c>
      <c r="Y524" s="45"/>
      <c r="Z524" s="44"/>
      <c r="AA524" s="41"/>
      <c r="AB524" s="39"/>
      <c r="AC524" s="37" t="str">
        <f t="shared" si="70"/>
        <v/>
      </c>
    </row>
    <row r="525" spans="2:29" x14ac:dyDescent="0.25">
      <c r="B525" s="54">
        <v>519</v>
      </c>
      <c r="C525" s="168"/>
      <c r="D525" s="51"/>
      <c r="E525" s="29"/>
      <c r="F525" s="48"/>
      <c r="G525" s="29"/>
      <c r="H525" s="187"/>
      <c r="I525" s="187"/>
      <c r="J525" s="195"/>
      <c r="K525" s="86" t="str">
        <f t="shared" si="64"/>
        <v/>
      </c>
      <c r="L525" s="57" t="str">
        <f t="shared" si="71"/>
        <v/>
      </c>
      <c r="M525" s="186"/>
      <c r="N525" s="189"/>
      <c r="O525" s="190"/>
      <c r="P525" s="190" t="str">
        <f>IF(OR(ISBLANK(V525),COUNTBLANK(V525:$V$1048576)=ROWS(V525:$V$1048576)),"",$R$2*(1+SUM(V$7:V525)))</f>
        <v/>
      </c>
      <c r="Q525" s="191"/>
      <c r="R525" s="189"/>
      <c r="S525" s="53" t="str">
        <f t="shared" si="65"/>
        <v/>
      </c>
      <c r="T525" s="63" t="str">
        <f t="shared" si="66"/>
        <v/>
      </c>
      <c r="U525" s="64" t="str">
        <f>IF(OR(ISBLANK(Trades!R525), ISBLANK(Trades!H525), ISBLANK(Trades!I525)), "", IF(Trades!H525=Trades!I525, "N/A", (Trades!R525-Trades!H525)/(Trades!H525-Trades!I525)))</f>
        <v/>
      </c>
      <c r="V525" s="65" t="str">
        <f t="shared" si="67"/>
        <v/>
      </c>
      <c r="W525" s="66" t="str">
        <f t="shared" si="68"/>
        <v/>
      </c>
      <c r="X525" s="62" t="str">
        <f t="shared" si="69"/>
        <v/>
      </c>
      <c r="Y525" s="45"/>
      <c r="Z525" s="44"/>
      <c r="AA525" s="41"/>
      <c r="AB525" s="39"/>
      <c r="AC525" s="37" t="str">
        <f t="shared" si="70"/>
        <v/>
      </c>
    </row>
    <row r="526" spans="2:29" x14ac:dyDescent="0.25">
      <c r="B526" s="54">
        <v>520</v>
      </c>
      <c r="C526" s="168"/>
      <c r="D526" s="51"/>
      <c r="E526" s="29"/>
      <c r="F526" s="48"/>
      <c r="G526" s="29"/>
      <c r="H526" s="187"/>
      <c r="I526" s="187"/>
      <c r="J526" s="195"/>
      <c r="K526" s="86" t="str">
        <f t="shared" si="64"/>
        <v/>
      </c>
      <c r="L526" s="57" t="str">
        <f t="shared" si="71"/>
        <v/>
      </c>
      <c r="M526" s="186"/>
      <c r="N526" s="189"/>
      <c r="O526" s="190"/>
      <c r="P526" s="190" t="str">
        <f>IF(OR(ISBLANK(V526),COUNTBLANK(V526:$V$1048576)=ROWS(V526:$V$1048576)),"",$R$2*(1+SUM(V$7:V526)))</f>
        <v/>
      </c>
      <c r="Q526" s="191"/>
      <c r="R526" s="189"/>
      <c r="S526" s="53" t="str">
        <f t="shared" si="65"/>
        <v/>
      </c>
      <c r="T526" s="63" t="str">
        <f t="shared" si="66"/>
        <v/>
      </c>
      <c r="U526" s="64" t="str">
        <f>IF(OR(ISBLANK(Trades!R526), ISBLANK(Trades!H526), ISBLANK(Trades!I526)), "", IF(Trades!H526=Trades!I526, "N/A", (Trades!R526-Trades!H526)/(Trades!H526-Trades!I526)))</f>
        <v/>
      </c>
      <c r="V526" s="65" t="str">
        <f t="shared" si="67"/>
        <v/>
      </c>
      <c r="W526" s="66" t="str">
        <f t="shared" si="68"/>
        <v/>
      </c>
      <c r="X526" s="62" t="str">
        <f t="shared" si="69"/>
        <v/>
      </c>
      <c r="Y526" s="45"/>
      <c r="Z526" s="44"/>
      <c r="AA526" s="41"/>
      <c r="AB526" s="39"/>
      <c r="AC526" s="37" t="str">
        <f t="shared" si="70"/>
        <v/>
      </c>
    </row>
    <row r="527" spans="2:29" x14ac:dyDescent="0.25">
      <c r="B527" s="54">
        <v>521</v>
      </c>
      <c r="C527" s="168"/>
      <c r="D527" s="51"/>
      <c r="E527" s="29"/>
      <c r="F527" s="48"/>
      <c r="G527" s="29"/>
      <c r="H527" s="187"/>
      <c r="I527" s="187"/>
      <c r="J527" s="195"/>
      <c r="K527" s="86" t="str">
        <f t="shared" si="64"/>
        <v/>
      </c>
      <c r="L527" s="57" t="str">
        <f t="shared" si="71"/>
        <v/>
      </c>
      <c r="M527" s="186"/>
      <c r="N527" s="189"/>
      <c r="O527" s="190"/>
      <c r="P527" s="190" t="str">
        <f>IF(OR(ISBLANK(V527),COUNTBLANK(V527:$V$1048576)=ROWS(V527:$V$1048576)),"",$R$2*(1+SUM(V$7:V527)))</f>
        <v/>
      </c>
      <c r="Q527" s="191"/>
      <c r="R527" s="189"/>
      <c r="S527" s="53" t="str">
        <f t="shared" si="65"/>
        <v/>
      </c>
      <c r="T527" s="63" t="str">
        <f t="shared" si="66"/>
        <v/>
      </c>
      <c r="U527" s="64" t="str">
        <f>IF(OR(ISBLANK(Trades!R527), ISBLANK(Trades!H527), ISBLANK(Trades!I527)), "", IF(Trades!H527=Trades!I527, "N/A", (Trades!R527-Trades!H527)/(Trades!H527-Trades!I527)))</f>
        <v/>
      </c>
      <c r="V527" s="65" t="str">
        <f t="shared" si="67"/>
        <v/>
      </c>
      <c r="W527" s="66" t="str">
        <f t="shared" si="68"/>
        <v/>
      </c>
      <c r="X527" s="62" t="str">
        <f t="shared" si="69"/>
        <v/>
      </c>
      <c r="Y527" s="45"/>
      <c r="Z527" s="44"/>
      <c r="AA527" s="41"/>
      <c r="AB527" s="39"/>
      <c r="AC527" s="37" t="str">
        <f t="shared" si="70"/>
        <v/>
      </c>
    </row>
    <row r="528" spans="2:29" x14ac:dyDescent="0.25">
      <c r="B528" s="54">
        <v>522</v>
      </c>
      <c r="C528" s="168"/>
      <c r="D528" s="51"/>
      <c r="E528" s="29"/>
      <c r="F528" s="48"/>
      <c r="G528" s="29"/>
      <c r="H528" s="187"/>
      <c r="I528" s="187"/>
      <c r="J528" s="195"/>
      <c r="K528" s="86" t="str">
        <f t="shared" si="64"/>
        <v/>
      </c>
      <c r="L528" s="57" t="str">
        <f t="shared" si="71"/>
        <v/>
      </c>
      <c r="M528" s="186"/>
      <c r="N528" s="189"/>
      <c r="O528" s="190"/>
      <c r="P528" s="190" t="str">
        <f>IF(OR(ISBLANK(V528),COUNTBLANK(V528:$V$1048576)=ROWS(V528:$V$1048576)),"",$R$2*(1+SUM(V$7:V528)))</f>
        <v/>
      </c>
      <c r="Q528" s="191"/>
      <c r="R528" s="189"/>
      <c r="S528" s="53" t="str">
        <f t="shared" si="65"/>
        <v/>
      </c>
      <c r="T528" s="63" t="str">
        <f t="shared" si="66"/>
        <v/>
      </c>
      <c r="U528" s="64" t="str">
        <f>IF(OR(ISBLANK(Trades!R528), ISBLANK(Trades!H528), ISBLANK(Trades!I528)), "", IF(Trades!H528=Trades!I528, "N/A", (Trades!R528-Trades!H528)/(Trades!H528-Trades!I528)))</f>
        <v/>
      </c>
      <c r="V528" s="65" t="str">
        <f t="shared" si="67"/>
        <v/>
      </c>
      <c r="W528" s="66" t="str">
        <f t="shared" si="68"/>
        <v/>
      </c>
      <c r="X528" s="62" t="str">
        <f t="shared" si="69"/>
        <v/>
      </c>
      <c r="Y528" s="45"/>
      <c r="Z528" s="44"/>
      <c r="AA528" s="41"/>
      <c r="AB528" s="39"/>
      <c r="AC528" s="37" t="str">
        <f t="shared" si="70"/>
        <v/>
      </c>
    </row>
    <row r="529" spans="2:29" x14ac:dyDescent="0.25">
      <c r="B529" s="54">
        <v>523</v>
      </c>
      <c r="C529" s="168"/>
      <c r="D529" s="51"/>
      <c r="E529" s="29"/>
      <c r="F529" s="48"/>
      <c r="G529" s="29"/>
      <c r="H529" s="187"/>
      <c r="I529" s="187"/>
      <c r="J529" s="195"/>
      <c r="K529" s="86" t="str">
        <f t="shared" si="64"/>
        <v/>
      </c>
      <c r="L529" s="57" t="str">
        <f t="shared" si="71"/>
        <v/>
      </c>
      <c r="M529" s="186"/>
      <c r="N529" s="189"/>
      <c r="O529" s="190"/>
      <c r="P529" s="190" t="str">
        <f>IF(OR(ISBLANK(V529),COUNTBLANK(V529:$V$1048576)=ROWS(V529:$V$1048576)),"",$R$2*(1+SUM(V$7:V529)))</f>
        <v/>
      </c>
      <c r="Q529" s="191"/>
      <c r="R529" s="189"/>
      <c r="S529" s="53" t="str">
        <f t="shared" si="65"/>
        <v/>
      </c>
      <c r="T529" s="63" t="str">
        <f t="shared" si="66"/>
        <v/>
      </c>
      <c r="U529" s="64" t="str">
        <f>IF(OR(ISBLANK(Trades!R529), ISBLANK(Trades!H529), ISBLANK(Trades!I529)), "", IF(Trades!H529=Trades!I529, "N/A", (Trades!R529-Trades!H529)/(Trades!H529-Trades!I529)))</f>
        <v/>
      </c>
      <c r="V529" s="65" t="str">
        <f t="shared" si="67"/>
        <v/>
      </c>
      <c r="W529" s="66" t="str">
        <f t="shared" si="68"/>
        <v/>
      </c>
      <c r="X529" s="62" t="str">
        <f t="shared" si="69"/>
        <v/>
      </c>
      <c r="Y529" s="45"/>
      <c r="Z529" s="44"/>
      <c r="AA529" s="41"/>
      <c r="AB529" s="39"/>
      <c r="AC529" s="37" t="str">
        <f t="shared" si="70"/>
        <v/>
      </c>
    </row>
    <row r="530" spans="2:29" x14ac:dyDescent="0.25">
      <c r="B530" s="54">
        <v>524</v>
      </c>
      <c r="C530" s="168"/>
      <c r="D530" s="51"/>
      <c r="E530" s="29"/>
      <c r="F530" s="48"/>
      <c r="G530" s="29"/>
      <c r="H530" s="187"/>
      <c r="I530" s="187"/>
      <c r="J530" s="195"/>
      <c r="K530" s="86" t="str">
        <f t="shared" si="64"/>
        <v/>
      </c>
      <c r="L530" s="57" t="str">
        <f t="shared" si="71"/>
        <v/>
      </c>
      <c r="M530" s="186"/>
      <c r="N530" s="189"/>
      <c r="O530" s="190"/>
      <c r="P530" s="190" t="str">
        <f>IF(OR(ISBLANK(V530),COUNTBLANK(V530:$V$1048576)=ROWS(V530:$V$1048576)),"",$R$2*(1+SUM(V$7:V530)))</f>
        <v/>
      </c>
      <c r="Q530" s="191"/>
      <c r="R530" s="189"/>
      <c r="S530" s="53" t="str">
        <f t="shared" si="65"/>
        <v/>
      </c>
      <c r="T530" s="63" t="str">
        <f t="shared" si="66"/>
        <v/>
      </c>
      <c r="U530" s="64" t="str">
        <f>IF(OR(ISBLANK(Trades!R530), ISBLANK(Trades!H530), ISBLANK(Trades!I530)), "", IF(Trades!H530=Trades!I530, "N/A", (Trades!R530-Trades!H530)/(Trades!H530-Trades!I530)))</f>
        <v/>
      </c>
      <c r="V530" s="65" t="str">
        <f t="shared" si="67"/>
        <v/>
      </c>
      <c r="W530" s="66" t="str">
        <f t="shared" si="68"/>
        <v/>
      </c>
      <c r="X530" s="62" t="str">
        <f t="shared" si="69"/>
        <v/>
      </c>
      <c r="Y530" s="45"/>
      <c r="Z530" s="44"/>
      <c r="AA530" s="41"/>
      <c r="AB530" s="39"/>
      <c r="AC530" s="37" t="str">
        <f t="shared" si="70"/>
        <v/>
      </c>
    </row>
    <row r="531" spans="2:29" x14ac:dyDescent="0.25">
      <c r="B531" s="54">
        <v>525</v>
      </c>
      <c r="C531" s="168"/>
      <c r="D531" s="51"/>
      <c r="E531" s="29"/>
      <c r="F531" s="48"/>
      <c r="G531" s="29"/>
      <c r="H531" s="187"/>
      <c r="I531" s="187"/>
      <c r="J531" s="195"/>
      <c r="K531" s="86" t="str">
        <f t="shared" si="64"/>
        <v/>
      </c>
      <c r="L531" s="57" t="str">
        <f t="shared" si="71"/>
        <v/>
      </c>
      <c r="M531" s="186"/>
      <c r="N531" s="189"/>
      <c r="O531" s="190"/>
      <c r="P531" s="190" t="str">
        <f>IF(OR(ISBLANK(V531),COUNTBLANK(V531:$V$1048576)=ROWS(V531:$V$1048576)),"",$R$2*(1+SUM(V$7:V531)))</f>
        <v/>
      </c>
      <c r="Q531" s="191"/>
      <c r="R531" s="189"/>
      <c r="S531" s="53" t="str">
        <f t="shared" si="65"/>
        <v/>
      </c>
      <c r="T531" s="63" t="str">
        <f t="shared" si="66"/>
        <v/>
      </c>
      <c r="U531" s="64" t="str">
        <f>IF(OR(ISBLANK(Trades!R531), ISBLANK(Trades!H531), ISBLANK(Trades!I531)), "", IF(Trades!H531=Trades!I531, "N/A", (Trades!R531-Trades!H531)/(Trades!H531-Trades!I531)))</f>
        <v/>
      </c>
      <c r="V531" s="65" t="str">
        <f t="shared" si="67"/>
        <v/>
      </c>
      <c r="W531" s="66" t="str">
        <f t="shared" si="68"/>
        <v/>
      </c>
      <c r="X531" s="62" t="str">
        <f t="shared" si="69"/>
        <v/>
      </c>
      <c r="Y531" s="45"/>
      <c r="Z531" s="44"/>
      <c r="AA531" s="41"/>
      <c r="AB531" s="39"/>
      <c r="AC531" s="37" t="str">
        <f t="shared" si="70"/>
        <v/>
      </c>
    </row>
    <row r="532" spans="2:29" x14ac:dyDescent="0.25">
      <c r="B532" s="54">
        <v>526</v>
      </c>
      <c r="C532" s="168"/>
      <c r="D532" s="51"/>
      <c r="E532" s="29"/>
      <c r="F532" s="48"/>
      <c r="G532" s="29"/>
      <c r="H532" s="187"/>
      <c r="I532" s="187"/>
      <c r="J532" s="195"/>
      <c r="K532" s="86" t="str">
        <f t="shared" si="64"/>
        <v/>
      </c>
      <c r="L532" s="57" t="str">
        <f t="shared" si="71"/>
        <v/>
      </c>
      <c r="M532" s="186"/>
      <c r="N532" s="189"/>
      <c r="O532" s="190"/>
      <c r="P532" s="190" t="str">
        <f>IF(OR(ISBLANK(V532),COUNTBLANK(V532:$V$1048576)=ROWS(V532:$V$1048576)),"",$R$2*(1+SUM(V$7:V532)))</f>
        <v/>
      </c>
      <c r="Q532" s="191"/>
      <c r="R532" s="189"/>
      <c r="S532" s="53" t="str">
        <f t="shared" si="65"/>
        <v/>
      </c>
      <c r="T532" s="63" t="str">
        <f t="shared" si="66"/>
        <v/>
      </c>
      <c r="U532" s="64" t="str">
        <f>IF(OR(ISBLANK(Trades!R532), ISBLANK(Trades!H532), ISBLANK(Trades!I532)), "", IF(Trades!H532=Trades!I532, "N/A", (Trades!R532-Trades!H532)/(Trades!H532-Trades!I532)))</f>
        <v/>
      </c>
      <c r="V532" s="65" t="str">
        <f t="shared" si="67"/>
        <v/>
      </c>
      <c r="W532" s="66" t="str">
        <f t="shared" si="68"/>
        <v/>
      </c>
      <c r="X532" s="62" t="str">
        <f t="shared" si="69"/>
        <v/>
      </c>
      <c r="Y532" s="45"/>
      <c r="Z532" s="44"/>
      <c r="AA532" s="41"/>
      <c r="AB532" s="39"/>
      <c r="AC532" s="37" t="str">
        <f t="shared" si="70"/>
        <v/>
      </c>
    </row>
    <row r="533" spans="2:29" x14ac:dyDescent="0.25">
      <c r="B533" s="54">
        <v>527</v>
      </c>
      <c r="C533" s="168"/>
      <c r="D533" s="51"/>
      <c r="E533" s="29"/>
      <c r="F533" s="48"/>
      <c r="G533" s="29"/>
      <c r="H533" s="187"/>
      <c r="I533" s="187"/>
      <c r="J533" s="195"/>
      <c r="K533" s="86" t="str">
        <f t="shared" si="64"/>
        <v/>
      </c>
      <c r="L533" s="57" t="str">
        <f t="shared" si="71"/>
        <v/>
      </c>
      <c r="M533" s="186"/>
      <c r="N533" s="189"/>
      <c r="O533" s="190"/>
      <c r="P533" s="190" t="str">
        <f>IF(OR(ISBLANK(V533),COUNTBLANK(V533:$V$1048576)=ROWS(V533:$V$1048576)),"",$R$2*(1+SUM(V$7:V533)))</f>
        <v/>
      </c>
      <c r="Q533" s="191"/>
      <c r="R533" s="189"/>
      <c r="S533" s="53" t="str">
        <f t="shared" si="65"/>
        <v/>
      </c>
      <c r="T533" s="63" t="str">
        <f t="shared" si="66"/>
        <v/>
      </c>
      <c r="U533" s="64" t="str">
        <f>IF(OR(ISBLANK(Trades!R533), ISBLANK(Trades!H533), ISBLANK(Trades!I533)), "", IF(Trades!H533=Trades!I533, "N/A", (Trades!R533-Trades!H533)/(Trades!H533-Trades!I533)))</f>
        <v/>
      </c>
      <c r="V533" s="65" t="str">
        <f t="shared" si="67"/>
        <v/>
      </c>
      <c r="W533" s="66" t="str">
        <f t="shared" si="68"/>
        <v/>
      </c>
      <c r="X533" s="62" t="str">
        <f t="shared" si="69"/>
        <v/>
      </c>
      <c r="Y533" s="45"/>
      <c r="Z533" s="44"/>
      <c r="AA533" s="41"/>
      <c r="AB533" s="39"/>
      <c r="AC533" s="37" t="str">
        <f t="shared" si="70"/>
        <v/>
      </c>
    </row>
    <row r="534" spans="2:29" x14ac:dyDescent="0.25">
      <c r="B534" s="54">
        <v>528</v>
      </c>
      <c r="C534" s="168"/>
      <c r="D534" s="51"/>
      <c r="E534" s="29"/>
      <c r="F534" s="48"/>
      <c r="G534" s="29"/>
      <c r="H534" s="187"/>
      <c r="I534" s="187"/>
      <c r="J534" s="195"/>
      <c r="K534" s="86" t="str">
        <f t="shared" si="64"/>
        <v/>
      </c>
      <c r="L534" s="57" t="str">
        <f t="shared" si="71"/>
        <v/>
      </c>
      <c r="M534" s="186"/>
      <c r="N534" s="189"/>
      <c r="O534" s="190"/>
      <c r="P534" s="190" t="str">
        <f>IF(OR(ISBLANK(V534),COUNTBLANK(V534:$V$1048576)=ROWS(V534:$V$1048576)),"",$R$2*(1+SUM(V$7:V534)))</f>
        <v/>
      </c>
      <c r="Q534" s="191"/>
      <c r="R534" s="189"/>
      <c r="S534" s="53" t="str">
        <f t="shared" si="65"/>
        <v/>
      </c>
      <c r="T534" s="63" t="str">
        <f t="shared" si="66"/>
        <v/>
      </c>
      <c r="U534" s="64" t="str">
        <f>IF(OR(ISBLANK(Trades!R534), ISBLANK(Trades!H534), ISBLANK(Trades!I534)), "", IF(Trades!H534=Trades!I534, "N/A", (Trades!R534-Trades!H534)/(Trades!H534-Trades!I534)))</f>
        <v/>
      </c>
      <c r="V534" s="65" t="str">
        <f t="shared" si="67"/>
        <v/>
      </c>
      <c r="W534" s="66" t="str">
        <f t="shared" si="68"/>
        <v/>
      </c>
      <c r="X534" s="62" t="str">
        <f t="shared" si="69"/>
        <v/>
      </c>
      <c r="Y534" s="45"/>
      <c r="Z534" s="44"/>
      <c r="AA534" s="41"/>
      <c r="AB534" s="39"/>
      <c r="AC534" s="37" t="str">
        <f t="shared" si="70"/>
        <v/>
      </c>
    </row>
    <row r="535" spans="2:29" x14ac:dyDescent="0.25">
      <c r="B535" s="54">
        <v>529</v>
      </c>
      <c r="C535" s="168"/>
      <c r="D535" s="51"/>
      <c r="E535" s="29"/>
      <c r="F535" s="48"/>
      <c r="G535" s="29"/>
      <c r="H535" s="187"/>
      <c r="I535" s="187"/>
      <c r="J535" s="195"/>
      <c r="K535" s="86" t="str">
        <f t="shared" si="64"/>
        <v/>
      </c>
      <c r="L535" s="57" t="str">
        <f t="shared" si="71"/>
        <v/>
      </c>
      <c r="M535" s="186"/>
      <c r="N535" s="189"/>
      <c r="O535" s="190"/>
      <c r="P535" s="190" t="str">
        <f>IF(OR(ISBLANK(V535),COUNTBLANK(V535:$V$1048576)=ROWS(V535:$V$1048576)),"",$R$2*(1+SUM(V$7:V535)))</f>
        <v/>
      </c>
      <c r="Q535" s="191"/>
      <c r="R535" s="189"/>
      <c r="S535" s="53" t="str">
        <f t="shared" si="65"/>
        <v/>
      </c>
      <c r="T535" s="63" t="str">
        <f t="shared" si="66"/>
        <v/>
      </c>
      <c r="U535" s="64" t="str">
        <f>IF(OR(ISBLANK(Trades!R535), ISBLANK(Trades!H535), ISBLANK(Trades!I535)), "", IF(Trades!H535=Trades!I535, "N/A", (Trades!R535-Trades!H535)/(Trades!H535-Trades!I535)))</f>
        <v/>
      </c>
      <c r="V535" s="65" t="str">
        <f t="shared" si="67"/>
        <v/>
      </c>
      <c r="W535" s="66" t="str">
        <f t="shared" si="68"/>
        <v/>
      </c>
      <c r="X535" s="62" t="str">
        <f t="shared" si="69"/>
        <v/>
      </c>
      <c r="Y535" s="45"/>
      <c r="Z535" s="44"/>
      <c r="AA535" s="41"/>
      <c r="AB535" s="39"/>
      <c r="AC535" s="37" t="str">
        <f t="shared" si="70"/>
        <v/>
      </c>
    </row>
    <row r="536" spans="2:29" x14ac:dyDescent="0.25">
      <c r="B536" s="54">
        <v>530</v>
      </c>
      <c r="C536" s="168"/>
      <c r="D536" s="51"/>
      <c r="E536" s="29"/>
      <c r="F536" s="48"/>
      <c r="G536" s="29"/>
      <c r="H536" s="187"/>
      <c r="I536" s="187"/>
      <c r="J536" s="195"/>
      <c r="K536" s="86" t="str">
        <f t="shared" si="64"/>
        <v/>
      </c>
      <c r="L536" s="57" t="str">
        <f t="shared" si="71"/>
        <v/>
      </c>
      <c r="M536" s="186"/>
      <c r="N536" s="189"/>
      <c r="O536" s="190"/>
      <c r="P536" s="190" t="str">
        <f>IF(OR(ISBLANK(V536),COUNTBLANK(V536:$V$1048576)=ROWS(V536:$V$1048576)),"",$R$2*(1+SUM(V$7:V536)))</f>
        <v/>
      </c>
      <c r="Q536" s="191"/>
      <c r="R536" s="189"/>
      <c r="S536" s="53" t="str">
        <f t="shared" si="65"/>
        <v/>
      </c>
      <c r="T536" s="63" t="str">
        <f t="shared" si="66"/>
        <v/>
      </c>
      <c r="U536" s="64" t="str">
        <f>IF(OR(ISBLANK(Trades!R536), ISBLANK(Trades!H536), ISBLANK(Trades!I536)), "", IF(Trades!H536=Trades!I536, "N/A", (Trades!R536-Trades!H536)/(Trades!H536-Trades!I536)))</f>
        <v/>
      </c>
      <c r="V536" s="65" t="str">
        <f t="shared" si="67"/>
        <v/>
      </c>
      <c r="W536" s="66" t="str">
        <f t="shared" si="68"/>
        <v/>
      </c>
      <c r="X536" s="62" t="str">
        <f t="shared" si="69"/>
        <v/>
      </c>
      <c r="Y536" s="45"/>
      <c r="Z536" s="44"/>
      <c r="AA536" s="41"/>
      <c r="AB536" s="39"/>
      <c r="AC536" s="37" t="str">
        <f t="shared" si="70"/>
        <v/>
      </c>
    </row>
    <row r="537" spans="2:29" x14ac:dyDescent="0.25">
      <c r="B537" s="54">
        <v>531</v>
      </c>
      <c r="C537" s="168"/>
      <c r="D537" s="51"/>
      <c r="E537" s="29"/>
      <c r="F537" s="48"/>
      <c r="G537" s="29"/>
      <c r="H537" s="187"/>
      <c r="I537" s="187"/>
      <c r="J537" s="195"/>
      <c r="K537" s="86" t="str">
        <f t="shared" si="64"/>
        <v/>
      </c>
      <c r="L537" s="57" t="str">
        <f t="shared" si="71"/>
        <v/>
      </c>
      <c r="M537" s="186"/>
      <c r="N537" s="189"/>
      <c r="O537" s="190"/>
      <c r="P537" s="190" t="str">
        <f>IF(OR(ISBLANK(V537),COUNTBLANK(V537:$V$1048576)=ROWS(V537:$V$1048576)),"",$R$2*(1+SUM(V$7:V537)))</f>
        <v/>
      </c>
      <c r="Q537" s="191"/>
      <c r="R537" s="189"/>
      <c r="S537" s="53" t="str">
        <f t="shared" si="65"/>
        <v/>
      </c>
      <c r="T537" s="63" t="str">
        <f t="shared" si="66"/>
        <v/>
      </c>
      <c r="U537" s="64" t="str">
        <f>IF(OR(ISBLANK(Trades!R537), ISBLANK(Trades!H537), ISBLANK(Trades!I537)), "", IF(Trades!H537=Trades!I537, "N/A", (Trades!R537-Trades!H537)/(Trades!H537-Trades!I537)))</f>
        <v/>
      </c>
      <c r="V537" s="65" t="str">
        <f t="shared" si="67"/>
        <v/>
      </c>
      <c r="W537" s="66" t="str">
        <f t="shared" si="68"/>
        <v/>
      </c>
      <c r="X537" s="62" t="str">
        <f t="shared" si="69"/>
        <v/>
      </c>
      <c r="Y537" s="45"/>
      <c r="Z537" s="44"/>
      <c r="AA537" s="41"/>
      <c r="AB537" s="39"/>
      <c r="AC537" s="37" t="str">
        <f t="shared" si="70"/>
        <v/>
      </c>
    </row>
    <row r="538" spans="2:29" x14ac:dyDescent="0.25">
      <c r="B538" s="54">
        <v>532</v>
      </c>
      <c r="C538" s="168"/>
      <c r="D538" s="51"/>
      <c r="E538" s="29"/>
      <c r="F538" s="48"/>
      <c r="G538" s="29"/>
      <c r="H538" s="187"/>
      <c r="I538" s="187"/>
      <c r="J538" s="195"/>
      <c r="K538" s="86" t="str">
        <f t="shared" si="64"/>
        <v/>
      </c>
      <c r="L538" s="57" t="str">
        <f t="shared" si="71"/>
        <v/>
      </c>
      <c r="M538" s="186"/>
      <c r="N538" s="189"/>
      <c r="O538" s="190"/>
      <c r="P538" s="190" t="str">
        <f>IF(OR(ISBLANK(V538),COUNTBLANK(V538:$V$1048576)=ROWS(V538:$V$1048576)),"",$R$2*(1+SUM(V$7:V538)))</f>
        <v/>
      </c>
      <c r="Q538" s="191"/>
      <c r="R538" s="189"/>
      <c r="S538" s="53" t="str">
        <f t="shared" si="65"/>
        <v/>
      </c>
      <c r="T538" s="63" t="str">
        <f t="shared" si="66"/>
        <v/>
      </c>
      <c r="U538" s="64" t="str">
        <f>IF(OR(ISBLANK(Trades!R538), ISBLANK(Trades!H538), ISBLANK(Trades!I538)), "", IF(Trades!H538=Trades!I538, "N/A", (Trades!R538-Trades!H538)/(Trades!H538-Trades!I538)))</f>
        <v/>
      </c>
      <c r="V538" s="65" t="str">
        <f t="shared" si="67"/>
        <v/>
      </c>
      <c r="W538" s="66" t="str">
        <f t="shared" si="68"/>
        <v/>
      </c>
      <c r="X538" s="62" t="str">
        <f t="shared" si="69"/>
        <v/>
      </c>
      <c r="Y538" s="45"/>
      <c r="Z538" s="44"/>
      <c r="AA538" s="41"/>
      <c r="AB538" s="39"/>
      <c r="AC538" s="37" t="str">
        <f t="shared" si="70"/>
        <v/>
      </c>
    </row>
    <row r="539" spans="2:29" x14ac:dyDescent="0.25">
      <c r="B539" s="54">
        <v>533</v>
      </c>
      <c r="C539" s="168"/>
      <c r="D539" s="51"/>
      <c r="E539" s="29"/>
      <c r="F539" s="48"/>
      <c r="G539" s="29"/>
      <c r="H539" s="187"/>
      <c r="I539" s="187"/>
      <c r="J539" s="195"/>
      <c r="K539" s="86" t="str">
        <f t="shared" si="64"/>
        <v/>
      </c>
      <c r="L539" s="57" t="str">
        <f t="shared" si="71"/>
        <v/>
      </c>
      <c r="M539" s="186"/>
      <c r="N539" s="189"/>
      <c r="O539" s="190"/>
      <c r="P539" s="190" t="str">
        <f>IF(OR(ISBLANK(V539),COUNTBLANK(V539:$V$1048576)=ROWS(V539:$V$1048576)),"",$R$2*(1+SUM(V$7:V539)))</f>
        <v/>
      </c>
      <c r="Q539" s="191"/>
      <c r="R539" s="189"/>
      <c r="S539" s="53" t="str">
        <f t="shared" si="65"/>
        <v/>
      </c>
      <c r="T539" s="63" t="str">
        <f t="shared" si="66"/>
        <v/>
      </c>
      <c r="U539" s="64" t="str">
        <f>IF(OR(ISBLANK(Trades!R539), ISBLANK(Trades!H539), ISBLANK(Trades!I539)), "", IF(Trades!H539=Trades!I539, "N/A", (Trades!R539-Trades!H539)/(Trades!H539-Trades!I539)))</f>
        <v/>
      </c>
      <c r="V539" s="65" t="str">
        <f t="shared" si="67"/>
        <v/>
      </c>
      <c r="W539" s="66" t="str">
        <f t="shared" si="68"/>
        <v/>
      </c>
      <c r="X539" s="62" t="str">
        <f t="shared" si="69"/>
        <v/>
      </c>
      <c r="Y539" s="45"/>
      <c r="Z539" s="44"/>
      <c r="AA539" s="41"/>
      <c r="AB539" s="39"/>
      <c r="AC539" s="37" t="str">
        <f t="shared" si="70"/>
        <v/>
      </c>
    </row>
    <row r="540" spans="2:29" x14ac:dyDescent="0.25">
      <c r="B540" s="54">
        <v>534</v>
      </c>
      <c r="C540" s="168"/>
      <c r="D540" s="51"/>
      <c r="E540" s="29"/>
      <c r="F540" s="48"/>
      <c r="G540" s="29"/>
      <c r="H540" s="187"/>
      <c r="I540" s="187"/>
      <c r="J540" s="195"/>
      <c r="K540" s="86" t="str">
        <f t="shared" si="64"/>
        <v/>
      </c>
      <c r="L540" s="57" t="str">
        <f t="shared" si="71"/>
        <v/>
      </c>
      <c r="M540" s="186"/>
      <c r="N540" s="189"/>
      <c r="O540" s="190"/>
      <c r="P540" s="190" t="str">
        <f>IF(OR(ISBLANK(V540),COUNTBLANK(V540:$V$1048576)=ROWS(V540:$V$1048576)),"",$R$2*(1+SUM(V$7:V540)))</f>
        <v/>
      </c>
      <c r="Q540" s="191"/>
      <c r="R540" s="189"/>
      <c r="S540" s="53" t="str">
        <f t="shared" si="65"/>
        <v/>
      </c>
      <c r="T540" s="63" t="str">
        <f t="shared" si="66"/>
        <v/>
      </c>
      <c r="U540" s="64" t="str">
        <f>IF(OR(ISBLANK(Trades!R540), ISBLANK(Trades!H540), ISBLANK(Trades!I540)), "", IF(Trades!H540=Trades!I540, "N/A", (Trades!R540-Trades!H540)/(Trades!H540-Trades!I540)))</f>
        <v/>
      </c>
      <c r="V540" s="65" t="str">
        <f t="shared" si="67"/>
        <v/>
      </c>
      <c r="W540" s="66" t="str">
        <f t="shared" si="68"/>
        <v/>
      </c>
      <c r="X540" s="62" t="str">
        <f t="shared" si="69"/>
        <v/>
      </c>
      <c r="Y540" s="45"/>
      <c r="Z540" s="44"/>
      <c r="AA540" s="41"/>
      <c r="AB540" s="39"/>
      <c r="AC540" s="37" t="str">
        <f t="shared" si="70"/>
        <v/>
      </c>
    </row>
    <row r="541" spans="2:29" x14ac:dyDescent="0.25">
      <c r="B541" s="54">
        <v>535</v>
      </c>
      <c r="C541" s="168"/>
      <c r="D541" s="51"/>
      <c r="E541" s="29"/>
      <c r="F541" s="48"/>
      <c r="G541" s="29"/>
      <c r="H541" s="187"/>
      <c r="I541" s="187"/>
      <c r="J541" s="195"/>
      <c r="K541" s="86" t="str">
        <f t="shared" si="64"/>
        <v/>
      </c>
      <c r="L541" s="57" t="str">
        <f t="shared" si="71"/>
        <v/>
      </c>
      <c r="M541" s="186"/>
      <c r="N541" s="189"/>
      <c r="O541" s="190"/>
      <c r="P541" s="190" t="str">
        <f>IF(OR(ISBLANK(V541),COUNTBLANK(V541:$V$1048576)=ROWS(V541:$V$1048576)),"",$R$2*(1+SUM(V$7:V541)))</f>
        <v/>
      </c>
      <c r="Q541" s="191"/>
      <c r="R541" s="189"/>
      <c r="S541" s="53" t="str">
        <f t="shared" si="65"/>
        <v/>
      </c>
      <c r="T541" s="63" t="str">
        <f t="shared" si="66"/>
        <v/>
      </c>
      <c r="U541" s="64" t="str">
        <f>IF(OR(ISBLANK(Trades!R541), ISBLANK(Trades!H541), ISBLANK(Trades!I541)), "", IF(Trades!H541=Trades!I541, "N/A", (Trades!R541-Trades!H541)/(Trades!H541-Trades!I541)))</f>
        <v/>
      </c>
      <c r="V541" s="65" t="str">
        <f t="shared" si="67"/>
        <v/>
      </c>
      <c r="W541" s="66" t="str">
        <f t="shared" si="68"/>
        <v/>
      </c>
      <c r="X541" s="62" t="str">
        <f t="shared" si="69"/>
        <v/>
      </c>
      <c r="Y541" s="45"/>
      <c r="Z541" s="44"/>
      <c r="AA541" s="41"/>
      <c r="AB541" s="39"/>
      <c r="AC541" s="37" t="str">
        <f t="shared" si="70"/>
        <v/>
      </c>
    </row>
    <row r="542" spans="2:29" x14ac:dyDescent="0.25">
      <c r="B542" s="54">
        <v>536</v>
      </c>
      <c r="C542" s="168"/>
      <c r="D542" s="51"/>
      <c r="E542" s="29"/>
      <c r="F542" s="48"/>
      <c r="G542" s="29"/>
      <c r="H542" s="187"/>
      <c r="I542" s="187"/>
      <c r="J542" s="195"/>
      <c r="K542" s="86" t="str">
        <f t="shared" si="64"/>
        <v/>
      </c>
      <c r="L542" s="57" t="str">
        <f t="shared" si="71"/>
        <v/>
      </c>
      <c r="M542" s="186"/>
      <c r="N542" s="189"/>
      <c r="O542" s="190"/>
      <c r="P542" s="190" t="str">
        <f>IF(OR(ISBLANK(V542),COUNTBLANK(V542:$V$1048576)=ROWS(V542:$V$1048576)),"",$R$2*(1+SUM(V$7:V542)))</f>
        <v/>
      </c>
      <c r="Q542" s="191"/>
      <c r="R542" s="189"/>
      <c r="S542" s="53" t="str">
        <f t="shared" si="65"/>
        <v/>
      </c>
      <c r="T542" s="63" t="str">
        <f t="shared" si="66"/>
        <v/>
      </c>
      <c r="U542" s="64" t="str">
        <f>IF(OR(ISBLANK(Trades!R542), ISBLANK(Trades!H542), ISBLANK(Trades!I542)), "", IF(Trades!H542=Trades!I542, "N/A", (Trades!R542-Trades!H542)/(Trades!H542-Trades!I542)))</f>
        <v/>
      </c>
      <c r="V542" s="65" t="str">
        <f t="shared" si="67"/>
        <v/>
      </c>
      <c r="W542" s="66" t="str">
        <f t="shared" si="68"/>
        <v/>
      </c>
      <c r="X542" s="62" t="str">
        <f t="shared" si="69"/>
        <v/>
      </c>
      <c r="Y542" s="45"/>
      <c r="Z542" s="44"/>
      <c r="AA542" s="41"/>
      <c r="AB542" s="39"/>
      <c r="AC542" s="37" t="str">
        <f t="shared" si="70"/>
        <v/>
      </c>
    </row>
    <row r="543" spans="2:29" x14ac:dyDescent="0.25">
      <c r="B543" s="54">
        <v>537</v>
      </c>
      <c r="C543" s="168"/>
      <c r="D543" s="51"/>
      <c r="E543" s="29"/>
      <c r="F543" s="48"/>
      <c r="G543" s="29"/>
      <c r="H543" s="187"/>
      <c r="I543" s="187"/>
      <c r="J543" s="195"/>
      <c r="K543" s="86" t="str">
        <f t="shared" si="64"/>
        <v/>
      </c>
      <c r="L543" s="57" t="str">
        <f t="shared" si="71"/>
        <v/>
      </c>
      <c r="M543" s="186"/>
      <c r="N543" s="189"/>
      <c r="O543" s="190"/>
      <c r="P543" s="190" t="str">
        <f>IF(OR(ISBLANK(V543),COUNTBLANK(V543:$V$1048576)=ROWS(V543:$V$1048576)),"",$R$2*(1+SUM(V$7:V543)))</f>
        <v/>
      </c>
      <c r="Q543" s="191"/>
      <c r="R543" s="189"/>
      <c r="S543" s="53" t="str">
        <f t="shared" si="65"/>
        <v/>
      </c>
      <c r="T543" s="63" t="str">
        <f t="shared" si="66"/>
        <v/>
      </c>
      <c r="U543" s="64" t="str">
        <f>IF(OR(ISBLANK(Trades!R543), ISBLANK(Trades!H543), ISBLANK(Trades!I543)), "", IF(Trades!H543=Trades!I543, "N/A", (Trades!R543-Trades!H543)/(Trades!H543-Trades!I543)))</f>
        <v/>
      </c>
      <c r="V543" s="65" t="str">
        <f t="shared" si="67"/>
        <v/>
      </c>
      <c r="W543" s="66" t="str">
        <f t="shared" si="68"/>
        <v/>
      </c>
      <c r="X543" s="62" t="str">
        <f t="shared" si="69"/>
        <v/>
      </c>
      <c r="Y543" s="45"/>
      <c r="Z543" s="44"/>
      <c r="AA543" s="41"/>
      <c r="AB543" s="39"/>
      <c r="AC543" s="37" t="str">
        <f t="shared" si="70"/>
        <v/>
      </c>
    </row>
    <row r="544" spans="2:29" x14ac:dyDescent="0.25">
      <c r="B544" s="54">
        <v>538</v>
      </c>
      <c r="C544" s="168"/>
      <c r="D544" s="51"/>
      <c r="E544" s="29"/>
      <c r="F544" s="48"/>
      <c r="G544" s="29"/>
      <c r="H544" s="187"/>
      <c r="I544" s="187"/>
      <c r="J544" s="195"/>
      <c r="K544" s="86" t="str">
        <f t="shared" si="64"/>
        <v/>
      </c>
      <c r="L544" s="57" t="str">
        <f t="shared" si="71"/>
        <v/>
      </c>
      <c r="M544" s="186"/>
      <c r="N544" s="189"/>
      <c r="O544" s="190"/>
      <c r="P544" s="190" t="str">
        <f>IF(OR(ISBLANK(V544),COUNTBLANK(V544:$V$1048576)=ROWS(V544:$V$1048576)),"",$R$2*(1+SUM(V$7:V544)))</f>
        <v/>
      </c>
      <c r="Q544" s="191"/>
      <c r="R544" s="189"/>
      <c r="S544" s="53" t="str">
        <f t="shared" si="65"/>
        <v/>
      </c>
      <c r="T544" s="63" t="str">
        <f t="shared" si="66"/>
        <v/>
      </c>
      <c r="U544" s="64" t="str">
        <f>IF(OR(ISBLANK(Trades!R544), ISBLANK(Trades!H544), ISBLANK(Trades!I544)), "", IF(Trades!H544=Trades!I544, "N/A", (Trades!R544-Trades!H544)/(Trades!H544-Trades!I544)))</f>
        <v/>
      </c>
      <c r="V544" s="65" t="str">
        <f t="shared" si="67"/>
        <v/>
      </c>
      <c r="W544" s="66" t="str">
        <f t="shared" si="68"/>
        <v/>
      </c>
      <c r="X544" s="62" t="str">
        <f t="shared" si="69"/>
        <v/>
      </c>
      <c r="Y544" s="45"/>
      <c r="Z544" s="44"/>
      <c r="AA544" s="41"/>
      <c r="AB544" s="39"/>
      <c r="AC544" s="37" t="str">
        <f t="shared" si="70"/>
        <v/>
      </c>
    </row>
    <row r="545" spans="2:29" x14ac:dyDescent="0.25">
      <c r="B545" s="54">
        <v>539</v>
      </c>
      <c r="C545" s="168"/>
      <c r="D545" s="51"/>
      <c r="E545" s="29"/>
      <c r="F545" s="48"/>
      <c r="G545" s="29"/>
      <c r="H545" s="187"/>
      <c r="I545" s="187"/>
      <c r="J545" s="195"/>
      <c r="K545" s="86" t="str">
        <f t="shared" si="64"/>
        <v/>
      </c>
      <c r="L545" s="57" t="str">
        <f t="shared" si="71"/>
        <v/>
      </c>
      <c r="M545" s="186"/>
      <c r="N545" s="189"/>
      <c r="O545" s="190"/>
      <c r="P545" s="190" t="str">
        <f>IF(OR(ISBLANK(V545),COUNTBLANK(V545:$V$1048576)=ROWS(V545:$V$1048576)),"",$R$2*(1+SUM(V$7:V545)))</f>
        <v/>
      </c>
      <c r="Q545" s="191"/>
      <c r="R545" s="189"/>
      <c r="S545" s="53" t="str">
        <f t="shared" si="65"/>
        <v/>
      </c>
      <c r="T545" s="63" t="str">
        <f t="shared" si="66"/>
        <v/>
      </c>
      <c r="U545" s="64" t="str">
        <f>IF(OR(ISBLANK(Trades!R545), ISBLANK(Trades!H545), ISBLANK(Trades!I545)), "", IF(Trades!H545=Trades!I545, "N/A", (Trades!R545-Trades!H545)/(Trades!H545-Trades!I545)))</f>
        <v/>
      </c>
      <c r="V545" s="65" t="str">
        <f t="shared" si="67"/>
        <v/>
      </c>
      <c r="W545" s="66" t="str">
        <f t="shared" si="68"/>
        <v/>
      </c>
      <c r="X545" s="62" t="str">
        <f t="shared" si="69"/>
        <v/>
      </c>
      <c r="Y545" s="45"/>
      <c r="Z545" s="44"/>
      <c r="AA545" s="41"/>
      <c r="AB545" s="39"/>
      <c r="AC545" s="37" t="str">
        <f t="shared" si="70"/>
        <v/>
      </c>
    </row>
    <row r="546" spans="2:29" x14ac:dyDescent="0.25">
      <c r="B546" s="54">
        <v>540</v>
      </c>
      <c r="C546" s="168"/>
      <c r="D546" s="51"/>
      <c r="E546" s="29"/>
      <c r="F546" s="48"/>
      <c r="G546" s="29"/>
      <c r="H546" s="187"/>
      <c r="I546" s="187"/>
      <c r="J546" s="195"/>
      <c r="K546" s="86" t="str">
        <f t="shared" si="64"/>
        <v/>
      </c>
      <c r="L546" s="57" t="str">
        <f t="shared" si="71"/>
        <v/>
      </c>
      <c r="M546" s="186"/>
      <c r="N546" s="189"/>
      <c r="O546" s="190"/>
      <c r="P546" s="190" t="str">
        <f>IF(OR(ISBLANK(V546),COUNTBLANK(V546:$V$1048576)=ROWS(V546:$V$1048576)),"",$R$2*(1+SUM(V$7:V546)))</f>
        <v/>
      </c>
      <c r="Q546" s="191"/>
      <c r="R546" s="189"/>
      <c r="S546" s="53" t="str">
        <f t="shared" si="65"/>
        <v/>
      </c>
      <c r="T546" s="63" t="str">
        <f t="shared" si="66"/>
        <v/>
      </c>
      <c r="U546" s="64" t="str">
        <f>IF(OR(ISBLANK(Trades!R546), ISBLANK(Trades!H546), ISBLANK(Trades!I546)), "", IF(Trades!H546=Trades!I546, "N/A", (Trades!R546-Trades!H546)/(Trades!H546-Trades!I546)))</f>
        <v/>
      </c>
      <c r="V546" s="65" t="str">
        <f t="shared" si="67"/>
        <v/>
      </c>
      <c r="W546" s="66" t="str">
        <f t="shared" si="68"/>
        <v/>
      </c>
      <c r="X546" s="62" t="str">
        <f t="shared" si="69"/>
        <v/>
      </c>
      <c r="Y546" s="45"/>
      <c r="Z546" s="44"/>
      <c r="AA546" s="41"/>
      <c r="AB546" s="39"/>
      <c r="AC546" s="37" t="str">
        <f t="shared" si="70"/>
        <v/>
      </c>
    </row>
    <row r="547" spans="2:29" x14ac:dyDescent="0.25">
      <c r="B547" s="54">
        <v>541</v>
      </c>
      <c r="C547" s="168"/>
      <c r="D547" s="51"/>
      <c r="E547" s="29"/>
      <c r="F547" s="48"/>
      <c r="G547" s="29"/>
      <c r="H547" s="187"/>
      <c r="I547" s="187"/>
      <c r="J547" s="195"/>
      <c r="K547" s="86" t="str">
        <f t="shared" si="64"/>
        <v/>
      </c>
      <c r="L547" s="57" t="str">
        <f t="shared" si="71"/>
        <v/>
      </c>
      <c r="M547" s="186"/>
      <c r="N547" s="189"/>
      <c r="O547" s="190"/>
      <c r="P547" s="190" t="str">
        <f>IF(OR(ISBLANK(V547),COUNTBLANK(V547:$V$1048576)=ROWS(V547:$V$1048576)),"",$R$2*(1+SUM(V$7:V547)))</f>
        <v/>
      </c>
      <c r="Q547" s="191"/>
      <c r="R547" s="189"/>
      <c r="S547" s="53" t="str">
        <f t="shared" si="65"/>
        <v/>
      </c>
      <c r="T547" s="63" t="str">
        <f t="shared" si="66"/>
        <v/>
      </c>
      <c r="U547" s="64" t="str">
        <f>IF(OR(ISBLANK(Trades!R547), ISBLANK(Trades!H547), ISBLANK(Trades!I547)), "", IF(Trades!H547=Trades!I547, "N/A", (Trades!R547-Trades!H547)/(Trades!H547-Trades!I547)))</f>
        <v/>
      </c>
      <c r="V547" s="65" t="str">
        <f t="shared" si="67"/>
        <v/>
      </c>
      <c r="W547" s="66" t="str">
        <f t="shared" si="68"/>
        <v/>
      </c>
      <c r="X547" s="62" t="str">
        <f t="shared" si="69"/>
        <v/>
      </c>
      <c r="Y547" s="45"/>
      <c r="Z547" s="44"/>
      <c r="AA547" s="41"/>
      <c r="AB547" s="39"/>
      <c r="AC547" s="37" t="str">
        <f t="shared" si="70"/>
        <v/>
      </c>
    </row>
    <row r="548" spans="2:29" x14ac:dyDescent="0.25">
      <c r="B548" s="54">
        <v>542</v>
      </c>
      <c r="C548" s="168"/>
      <c r="D548" s="51"/>
      <c r="E548" s="29"/>
      <c r="F548" s="48"/>
      <c r="G548" s="29"/>
      <c r="H548" s="187"/>
      <c r="I548" s="187"/>
      <c r="J548" s="195"/>
      <c r="K548" s="86" t="str">
        <f t="shared" si="64"/>
        <v/>
      </c>
      <c r="L548" s="57" t="str">
        <f t="shared" si="71"/>
        <v/>
      </c>
      <c r="M548" s="186"/>
      <c r="N548" s="189"/>
      <c r="O548" s="190"/>
      <c r="P548" s="190" t="str">
        <f>IF(OR(ISBLANK(V548),COUNTBLANK(V548:$V$1048576)=ROWS(V548:$V$1048576)),"",$R$2*(1+SUM(V$7:V548)))</f>
        <v/>
      </c>
      <c r="Q548" s="191"/>
      <c r="R548" s="189"/>
      <c r="S548" s="53" t="str">
        <f t="shared" si="65"/>
        <v/>
      </c>
      <c r="T548" s="63" t="str">
        <f t="shared" si="66"/>
        <v/>
      </c>
      <c r="U548" s="64" t="str">
        <f>IF(OR(ISBLANK(Trades!R548), ISBLANK(Trades!H548), ISBLANK(Trades!I548)), "", IF(Trades!H548=Trades!I548, "N/A", (Trades!R548-Trades!H548)/(Trades!H548-Trades!I548)))</f>
        <v/>
      </c>
      <c r="V548" s="65" t="str">
        <f t="shared" si="67"/>
        <v/>
      </c>
      <c r="W548" s="66" t="str">
        <f t="shared" si="68"/>
        <v/>
      </c>
      <c r="X548" s="62" t="str">
        <f t="shared" si="69"/>
        <v/>
      </c>
      <c r="Y548" s="45"/>
      <c r="Z548" s="44"/>
      <c r="AA548" s="41"/>
      <c r="AB548" s="39"/>
      <c r="AC548" s="37" t="str">
        <f t="shared" si="70"/>
        <v/>
      </c>
    </row>
    <row r="549" spans="2:29" x14ac:dyDescent="0.25">
      <c r="B549" s="54">
        <v>543</v>
      </c>
      <c r="C549" s="168"/>
      <c r="D549" s="51"/>
      <c r="E549" s="29"/>
      <c r="F549" s="48"/>
      <c r="G549" s="29"/>
      <c r="H549" s="187"/>
      <c r="I549" s="187"/>
      <c r="J549" s="195"/>
      <c r="K549" s="86" t="str">
        <f t="shared" si="64"/>
        <v/>
      </c>
      <c r="L549" s="57" t="str">
        <f t="shared" si="71"/>
        <v/>
      </c>
      <c r="M549" s="186"/>
      <c r="N549" s="189"/>
      <c r="O549" s="190"/>
      <c r="P549" s="190" t="str">
        <f>IF(OR(ISBLANK(V549),COUNTBLANK(V549:$V$1048576)=ROWS(V549:$V$1048576)),"",$R$2*(1+SUM(V$7:V549)))</f>
        <v/>
      </c>
      <c r="Q549" s="191"/>
      <c r="R549" s="189"/>
      <c r="S549" s="53" t="str">
        <f t="shared" si="65"/>
        <v/>
      </c>
      <c r="T549" s="63" t="str">
        <f t="shared" si="66"/>
        <v/>
      </c>
      <c r="U549" s="64" t="str">
        <f>IF(OR(ISBLANK(Trades!R549), ISBLANK(Trades!H549), ISBLANK(Trades!I549)), "", IF(Trades!H549=Trades!I549, "N/A", (Trades!R549-Trades!H549)/(Trades!H549-Trades!I549)))</f>
        <v/>
      </c>
      <c r="V549" s="65" t="str">
        <f t="shared" si="67"/>
        <v/>
      </c>
      <c r="W549" s="66" t="str">
        <f t="shared" si="68"/>
        <v/>
      </c>
      <c r="X549" s="62" t="str">
        <f t="shared" si="69"/>
        <v/>
      </c>
      <c r="Y549" s="45"/>
      <c r="Z549" s="44"/>
      <c r="AA549" s="41"/>
      <c r="AB549" s="39"/>
      <c r="AC549" s="37" t="str">
        <f t="shared" si="70"/>
        <v/>
      </c>
    </row>
    <row r="550" spans="2:29" x14ac:dyDescent="0.25">
      <c r="B550" s="54">
        <v>544</v>
      </c>
      <c r="C550" s="168"/>
      <c r="D550" s="51"/>
      <c r="E550" s="29"/>
      <c r="F550" s="48"/>
      <c r="G550" s="29"/>
      <c r="H550" s="187"/>
      <c r="I550" s="187"/>
      <c r="J550" s="195"/>
      <c r="K550" s="86" t="str">
        <f t="shared" si="64"/>
        <v/>
      </c>
      <c r="L550" s="57" t="str">
        <f t="shared" si="71"/>
        <v/>
      </c>
      <c r="M550" s="186"/>
      <c r="N550" s="189"/>
      <c r="O550" s="190"/>
      <c r="P550" s="190" t="str">
        <f>IF(OR(ISBLANK(V550),COUNTBLANK(V550:$V$1048576)=ROWS(V550:$V$1048576)),"",$R$2*(1+SUM(V$7:V550)))</f>
        <v/>
      </c>
      <c r="Q550" s="191"/>
      <c r="R550" s="189"/>
      <c r="S550" s="53" t="str">
        <f t="shared" si="65"/>
        <v/>
      </c>
      <c r="T550" s="63" t="str">
        <f t="shared" si="66"/>
        <v/>
      </c>
      <c r="U550" s="64" t="str">
        <f>IF(OR(ISBLANK(Trades!R550), ISBLANK(Trades!H550), ISBLANK(Trades!I550)), "", IF(Trades!H550=Trades!I550, "N/A", (Trades!R550-Trades!H550)/(Trades!H550-Trades!I550)))</f>
        <v/>
      </c>
      <c r="V550" s="65" t="str">
        <f t="shared" si="67"/>
        <v/>
      </c>
      <c r="W550" s="66" t="str">
        <f t="shared" si="68"/>
        <v/>
      </c>
      <c r="X550" s="62" t="str">
        <f t="shared" si="69"/>
        <v/>
      </c>
      <c r="Y550" s="45"/>
      <c r="Z550" s="44"/>
      <c r="AA550" s="41"/>
      <c r="AB550" s="39"/>
      <c r="AC550" s="37" t="str">
        <f t="shared" si="70"/>
        <v/>
      </c>
    </row>
    <row r="551" spans="2:29" x14ac:dyDescent="0.25">
      <c r="B551" s="54">
        <v>545</v>
      </c>
      <c r="C551" s="168"/>
      <c r="D551" s="51"/>
      <c r="E551" s="29"/>
      <c r="F551" s="48"/>
      <c r="G551" s="29"/>
      <c r="H551" s="187"/>
      <c r="I551" s="187"/>
      <c r="J551" s="195"/>
      <c r="K551" s="86" t="str">
        <f t="shared" si="64"/>
        <v/>
      </c>
      <c r="L551" s="57" t="str">
        <f t="shared" si="71"/>
        <v/>
      </c>
      <c r="M551" s="186"/>
      <c r="N551" s="189"/>
      <c r="O551" s="190"/>
      <c r="P551" s="190" t="str">
        <f>IF(OR(ISBLANK(V551),COUNTBLANK(V551:$V$1048576)=ROWS(V551:$V$1048576)),"",$R$2*(1+SUM(V$7:V551)))</f>
        <v/>
      </c>
      <c r="Q551" s="191"/>
      <c r="R551" s="189"/>
      <c r="S551" s="53" t="str">
        <f t="shared" si="65"/>
        <v/>
      </c>
      <c r="T551" s="63" t="str">
        <f t="shared" si="66"/>
        <v/>
      </c>
      <c r="U551" s="64" t="str">
        <f>IF(OR(ISBLANK(Trades!R551), ISBLANK(Trades!H551), ISBLANK(Trades!I551)), "", IF(Trades!H551=Trades!I551, "N/A", (Trades!R551-Trades!H551)/(Trades!H551-Trades!I551)))</f>
        <v/>
      </c>
      <c r="V551" s="65" t="str">
        <f t="shared" si="67"/>
        <v/>
      </c>
      <c r="W551" s="66" t="str">
        <f t="shared" si="68"/>
        <v/>
      </c>
      <c r="X551" s="62" t="str">
        <f t="shared" si="69"/>
        <v/>
      </c>
      <c r="Y551" s="45"/>
      <c r="Z551" s="44"/>
      <c r="AA551" s="41"/>
      <c r="AB551" s="39"/>
      <c r="AC551" s="37" t="str">
        <f t="shared" si="70"/>
        <v/>
      </c>
    </row>
    <row r="552" spans="2:29" x14ac:dyDescent="0.25">
      <c r="B552" s="54">
        <v>546</v>
      </c>
      <c r="C552" s="168"/>
      <c r="D552" s="51"/>
      <c r="E552" s="29"/>
      <c r="F552" s="48"/>
      <c r="G552" s="29"/>
      <c r="H552" s="187"/>
      <c r="I552" s="187"/>
      <c r="J552" s="195"/>
      <c r="K552" s="86" t="str">
        <f t="shared" si="64"/>
        <v/>
      </c>
      <c r="L552" s="57" t="str">
        <f t="shared" si="71"/>
        <v/>
      </c>
      <c r="M552" s="186"/>
      <c r="N552" s="189"/>
      <c r="O552" s="190"/>
      <c r="P552" s="190" t="str">
        <f>IF(OR(ISBLANK(V552),COUNTBLANK(V552:$V$1048576)=ROWS(V552:$V$1048576)),"",$R$2*(1+SUM(V$7:V552)))</f>
        <v/>
      </c>
      <c r="Q552" s="191"/>
      <c r="R552" s="189"/>
      <c r="S552" s="53" t="str">
        <f t="shared" si="65"/>
        <v/>
      </c>
      <c r="T552" s="63" t="str">
        <f t="shared" si="66"/>
        <v/>
      </c>
      <c r="U552" s="64" t="str">
        <f>IF(OR(ISBLANK(Trades!R552), ISBLANK(Trades!H552), ISBLANK(Trades!I552)), "", IF(Trades!H552=Trades!I552, "N/A", (Trades!R552-Trades!H552)/(Trades!H552-Trades!I552)))</f>
        <v/>
      </c>
      <c r="V552" s="65" t="str">
        <f t="shared" si="67"/>
        <v/>
      </c>
      <c r="W552" s="66" t="str">
        <f t="shared" si="68"/>
        <v/>
      </c>
      <c r="X552" s="62" t="str">
        <f t="shared" si="69"/>
        <v/>
      </c>
      <c r="Y552" s="45"/>
      <c r="Z552" s="44"/>
      <c r="AA552" s="41"/>
      <c r="AB552" s="39"/>
      <c r="AC552" s="37" t="str">
        <f t="shared" si="70"/>
        <v/>
      </c>
    </row>
    <row r="553" spans="2:29" x14ac:dyDescent="0.25">
      <c r="B553" s="54">
        <v>547</v>
      </c>
      <c r="C553" s="168"/>
      <c r="D553" s="51"/>
      <c r="E553" s="29"/>
      <c r="F553" s="48"/>
      <c r="G553" s="29"/>
      <c r="H553" s="187"/>
      <c r="I553" s="187"/>
      <c r="J553" s="195"/>
      <c r="K553" s="86" t="str">
        <f t="shared" si="64"/>
        <v/>
      </c>
      <c r="L553" s="57" t="str">
        <f t="shared" si="71"/>
        <v/>
      </c>
      <c r="M553" s="186"/>
      <c r="N553" s="189"/>
      <c r="O553" s="190"/>
      <c r="P553" s="190" t="str">
        <f>IF(OR(ISBLANK(V553),COUNTBLANK(V553:$V$1048576)=ROWS(V553:$V$1048576)),"",$R$2*(1+SUM(V$7:V553)))</f>
        <v/>
      </c>
      <c r="Q553" s="191"/>
      <c r="R553" s="189"/>
      <c r="S553" s="53" t="str">
        <f t="shared" si="65"/>
        <v/>
      </c>
      <c r="T553" s="63" t="str">
        <f t="shared" si="66"/>
        <v/>
      </c>
      <c r="U553" s="64" t="str">
        <f>IF(OR(ISBLANK(Trades!R553), ISBLANK(Trades!H553), ISBLANK(Trades!I553)), "", IF(Trades!H553=Trades!I553, "N/A", (Trades!R553-Trades!H553)/(Trades!H553-Trades!I553)))</f>
        <v/>
      </c>
      <c r="V553" s="65" t="str">
        <f t="shared" si="67"/>
        <v/>
      </c>
      <c r="W553" s="66" t="str">
        <f t="shared" si="68"/>
        <v/>
      </c>
      <c r="X553" s="62" t="str">
        <f t="shared" si="69"/>
        <v/>
      </c>
      <c r="Y553" s="45"/>
      <c r="Z553" s="44"/>
      <c r="AA553" s="41"/>
      <c r="AB553" s="39"/>
      <c r="AC553" s="37" t="str">
        <f t="shared" si="70"/>
        <v/>
      </c>
    </row>
    <row r="554" spans="2:29" x14ac:dyDescent="0.25">
      <c r="B554" s="54">
        <v>548</v>
      </c>
      <c r="C554" s="168"/>
      <c r="D554" s="51"/>
      <c r="E554" s="29"/>
      <c r="F554" s="48"/>
      <c r="G554" s="29"/>
      <c r="H554" s="187"/>
      <c r="I554" s="187"/>
      <c r="J554" s="195"/>
      <c r="K554" s="86" t="str">
        <f t="shared" si="64"/>
        <v/>
      </c>
      <c r="L554" s="57" t="str">
        <f t="shared" si="71"/>
        <v/>
      </c>
      <c r="M554" s="186"/>
      <c r="N554" s="189"/>
      <c r="O554" s="190"/>
      <c r="P554" s="190" t="str">
        <f>IF(OR(ISBLANK(V554),COUNTBLANK(V554:$V$1048576)=ROWS(V554:$V$1048576)),"",$R$2*(1+SUM(V$7:V554)))</f>
        <v/>
      </c>
      <c r="Q554" s="191"/>
      <c r="R554" s="189"/>
      <c r="S554" s="53" t="str">
        <f t="shared" si="65"/>
        <v/>
      </c>
      <c r="T554" s="63" t="str">
        <f t="shared" si="66"/>
        <v/>
      </c>
      <c r="U554" s="64" t="str">
        <f>IF(OR(ISBLANK(Trades!R554), ISBLANK(Trades!H554), ISBLANK(Trades!I554)), "", IF(Trades!H554=Trades!I554, "N/A", (Trades!R554-Trades!H554)/(Trades!H554-Trades!I554)))</f>
        <v/>
      </c>
      <c r="V554" s="65" t="str">
        <f t="shared" si="67"/>
        <v/>
      </c>
      <c r="W554" s="66" t="str">
        <f t="shared" si="68"/>
        <v/>
      </c>
      <c r="X554" s="62" t="str">
        <f t="shared" si="69"/>
        <v/>
      </c>
      <c r="Y554" s="45"/>
      <c r="Z554" s="44"/>
      <c r="AA554" s="41"/>
      <c r="AB554" s="39"/>
      <c r="AC554" s="37" t="str">
        <f t="shared" si="70"/>
        <v/>
      </c>
    </row>
    <row r="555" spans="2:29" x14ac:dyDescent="0.25">
      <c r="B555" s="54">
        <v>549</v>
      </c>
      <c r="C555" s="168"/>
      <c r="D555" s="51"/>
      <c r="E555" s="29"/>
      <c r="F555" s="48"/>
      <c r="G555" s="29"/>
      <c r="H555" s="187"/>
      <c r="I555" s="187"/>
      <c r="J555" s="195"/>
      <c r="K555" s="86" t="str">
        <f t="shared" si="64"/>
        <v/>
      </c>
      <c r="L555" s="57" t="str">
        <f t="shared" si="71"/>
        <v/>
      </c>
      <c r="M555" s="186"/>
      <c r="N555" s="189"/>
      <c r="O555" s="190"/>
      <c r="P555" s="190" t="str">
        <f>IF(OR(ISBLANK(V555),COUNTBLANK(V555:$V$1048576)=ROWS(V555:$V$1048576)),"",$R$2*(1+SUM(V$7:V555)))</f>
        <v/>
      </c>
      <c r="Q555" s="191"/>
      <c r="R555" s="189"/>
      <c r="S555" s="53" t="str">
        <f t="shared" si="65"/>
        <v/>
      </c>
      <c r="T555" s="63" t="str">
        <f t="shared" si="66"/>
        <v/>
      </c>
      <c r="U555" s="64" t="str">
        <f>IF(OR(ISBLANK(Trades!R555), ISBLANK(Trades!H555), ISBLANK(Trades!I555)), "", IF(Trades!H555=Trades!I555, "N/A", (Trades!R555-Trades!H555)/(Trades!H555-Trades!I555)))</f>
        <v/>
      </c>
      <c r="V555" s="65" t="str">
        <f t="shared" si="67"/>
        <v/>
      </c>
      <c r="W555" s="66" t="str">
        <f t="shared" si="68"/>
        <v/>
      </c>
      <c r="X555" s="62" t="str">
        <f t="shared" si="69"/>
        <v/>
      </c>
      <c r="Y555" s="45"/>
      <c r="Z555" s="44"/>
      <c r="AA555" s="41"/>
      <c r="AB555" s="39"/>
      <c r="AC555" s="37" t="str">
        <f t="shared" si="70"/>
        <v/>
      </c>
    </row>
    <row r="556" spans="2:29" x14ac:dyDescent="0.25">
      <c r="B556" s="54">
        <v>550</v>
      </c>
      <c r="C556" s="168"/>
      <c r="D556" s="51"/>
      <c r="E556" s="29"/>
      <c r="F556" s="48"/>
      <c r="G556" s="29"/>
      <c r="H556" s="187"/>
      <c r="I556" s="187"/>
      <c r="J556" s="195"/>
      <c r="K556" s="86" t="str">
        <f t="shared" si="64"/>
        <v/>
      </c>
      <c r="L556" s="57" t="str">
        <f t="shared" si="71"/>
        <v/>
      </c>
      <c r="M556" s="186"/>
      <c r="N556" s="189"/>
      <c r="O556" s="190"/>
      <c r="P556" s="190" t="str">
        <f>IF(OR(ISBLANK(V556),COUNTBLANK(V556:$V$1048576)=ROWS(V556:$V$1048576)),"",$R$2*(1+SUM(V$7:V556)))</f>
        <v/>
      </c>
      <c r="Q556" s="191"/>
      <c r="R556" s="189"/>
      <c r="S556" s="53" t="str">
        <f t="shared" si="65"/>
        <v/>
      </c>
      <c r="T556" s="63" t="str">
        <f t="shared" si="66"/>
        <v/>
      </c>
      <c r="U556" s="64" t="str">
        <f>IF(OR(ISBLANK(Trades!R556), ISBLANK(Trades!H556), ISBLANK(Trades!I556)), "", IF(Trades!H556=Trades!I556, "N/A", (Trades!R556-Trades!H556)/(Trades!H556-Trades!I556)))</f>
        <v/>
      </c>
      <c r="V556" s="65" t="str">
        <f t="shared" si="67"/>
        <v/>
      </c>
      <c r="W556" s="66" t="str">
        <f t="shared" si="68"/>
        <v/>
      </c>
      <c r="X556" s="62" t="str">
        <f t="shared" si="69"/>
        <v/>
      </c>
      <c r="Y556" s="45"/>
      <c r="Z556" s="44"/>
      <c r="AA556" s="41"/>
      <c r="AB556" s="39"/>
      <c r="AC556" s="37" t="str">
        <f t="shared" si="70"/>
        <v/>
      </c>
    </row>
    <row r="557" spans="2:29" x14ac:dyDescent="0.25">
      <c r="B557" s="54">
        <v>551</v>
      </c>
      <c r="C557" s="168"/>
      <c r="D557" s="51"/>
      <c r="E557" s="29"/>
      <c r="F557" s="48"/>
      <c r="G557" s="29"/>
      <c r="H557" s="187"/>
      <c r="I557" s="187"/>
      <c r="J557" s="195"/>
      <c r="K557" s="86" t="str">
        <f t="shared" si="64"/>
        <v/>
      </c>
      <c r="L557" s="57" t="str">
        <f t="shared" si="71"/>
        <v/>
      </c>
      <c r="M557" s="186"/>
      <c r="N557" s="189"/>
      <c r="O557" s="190"/>
      <c r="P557" s="190" t="str">
        <f>IF(OR(ISBLANK(V557),COUNTBLANK(V557:$V$1048576)=ROWS(V557:$V$1048576)),"",$R$2*(1+SUM(V$7:V557)))</f>
        <v/>
      </c>
      <c r="Q557" s="191"/>
      <c r="R557" s="189"/>
      <c r="S557" s="53" t="str">
        <f t="shared" si="65"/>
        <v/>
      </c>
      <c r="T557" s="63" t="str">
        <f t="shared" si="66"/>
        <v/>
      </c>
      <c r="U557" s="64" t="str">
        <f>IF(OR(ISBLANK(Trades!R557), ISBLANK(Trades!H557), ISBLANK(Trades!I557)), "", IF(Trades!H557=Trades!I557, "N/A", (Trades!R557-Trades!H557)/(Trades!H557-Trades!I557)))</f>
        <v/>
      </c>
      <c r="V557" s="65" t="str">
        <f t="shared" si="67"/>
        <v/>
      </c>
      <c r="W557" s="66" t="str">
        <f t="shared" si="68"/>
        <v/>
      </c>
      <c r="X557" s="62" t="str">
        <f t="shared" si="69"/>
        <v/>
      </c>
      <c r="Y557" s="45"/>
      <c r="Z557" s="44"/>
      <c r="AA557" s="41"/>
      <c r="AB557" s="39"/>
      <c r="AC557" s="37" t="str">
        <f t="shared" si="70"/>
        <v/>
      </c>
    </row>
    <row r="558" spans="2:29" x14ac:dyDescent="0.25">
      <c r="B558" s="54">
        <v>552</v>
      </c>
      <c r="C558" s="168"/>
      <c r="D558" s="51"/>
      <c r="E558" s="29"/>
      <c r="F558" s="48"/>
      <c r="G558" s="29"/>
      <c r="H558" s="187"/>
      <c r="I558" s="187"/>
      <c r="J558" s="195"/>
      <c r="K558" s="86" t="str">
        <f t="shared" si="64"/>
        <v/>
      </c>
      <c r="L558" s="57" t="str">
        <f t="shared" si="71"/>
        <v/>
      </c>
      <c r="M558" s="186"/>
      <c r="N558" s="189"/>
      <c r="O558" s="190"/>
      <c r="P558" s="190" t="str">
        <f>IF(OR(ISBLANK(V558),COUNTBLANK(V558:$V$1048576)=ROWS(V558:$V$1048576)),"",$R$2*(1+SUM(V$7:V558)))</f>
        <v/>
      </c>
      <c r="Q558" s="191"/>
      <c r="R558" s="189"/>
      <c r="S558" s="53" t="str">
        <f t="shared" si="65"/>
        <v/>
      </c>
      <c r="T558" s="63" t="str">
        <f t="shared" si="66"/>
        <v/>
      </c>
      <c r="U558" s="64" t="str">
        <f>IF(OR(ISBLANK(Trades!R558), ISBLANK(Trades!H558), ISBLANK(Trades!I558)), "", IF(Trades!H558=Trades!I558, "N/A", (Trades!R558-Trades!H558)/(Trades!H558-Trades!I558)))</f>
        <v/>
      </c>
      <c r="V558" s="65" t="str">
        <f t="shared" si="67"/>
        <v/>
      </c>
      <c r="W558" s="66" t="str">
        <f t="shared" si="68"/>
        <v/>
      </c>
      <c r="X558" s="62" t="str">
        <f t="shared" si="69"/>
        <v/>
      </c>
      <c r="Y558" s="45"/>
      <c r="Z558" s="44"/>
      <c r="AA558" s="41"/>
      <c r="AB558" s="39"/>
      <c r="AC558" s="37" t="str">
        <f t="shared" si="70"/>
        <v/>
      </c>
    </row>
    <row r="559" spans="2:29" x14ac:dyDescent="0.25">
      <c r="B559" s="54">
        <v>553</v>
      </c>
      <c r="C559" s="168"/>
      <c r="D559" s="51"/>
      <c r="E559" s="29"/>
      <c r="F559" s="48"/>
      <c r="G559" s="29"/>
      <c r="H559" s="187"/>
      <c r="I559" s="187"/>
      <c r="J559" s="195"/>
      <c r="K559" s="86" t="str">
        <f t="shared" si="64"/>
        <v/>
      </c>
      <c r="L559" s="57" t="str">
        <f t="shared" si="71"/>
        <v/>
      </c>
      <c r="M559" s="186"/>
      <c r="N559" s="189"/>
      <c r="O559" s="190"/>
      <c r="P559" s="190" t="str">
        <f>IF(OR(ISBLANK(V559),COUNTBLANK(V559:$V$1048576)=ROWS(V559:$V$1048576)),"",$R$2*(1+SUM(V$7:V559)))</f>
        <v/>
      </c>
      <c r="Q559" s="191"/>
      <c r="R559" s="189"/>
      <c r="S559" s="53" t="str">
        <f t="shared" si="65"/>
        <v/>
      </c>
      <c r="T559" s="63" t="str">
        <f t="shared" si="66"/>
        <v/>
      </c>
      <c r="U559" s="64" t="str">
        <f>IF(OR(ISBLANK(Trades!R559), ISBLANK(Trades!H559), ISBLANK(Trades!I559)), "", IF(Trades!H559=Trades!I559, "N/A", (Trades!R559-Trades!H559)/(Trades!H559-Trades!I559)))</f>
        <v/>
      </c>
      <c r="V559" s="65" t="str">
        <f t="shared" si="67"/>
        <v/>
      </c>
      <c r="W559" s="66" t="str">
        <f t="shared" si="68"/>
        <v/>
      </c>
      <c r="X559" s="62" t="str">
        <f t="shared" si="69"/>
        <v/>
      </c>
      <c r="Y559" s="45"/>
      <c r="Z559" s="44"/>
      <c r="AA559" s="41"/>
      <c r="AB559" s="39"/>
      <c r="AC559" s="37" t="str">
        <f t="shared" si="70"/>
        <v/>
      </c>
    </row>
    <row r="560" spans="2:29" x14ac:dyDescent="0.25">
      <c r="B560" s="54">
        <v>554</v>
      </c>
      <c r="C560" s="168"/>
      <c r="D560" s="51"/>
      <c r="E560" s="29"/>
      <c r="F560" s="48"/>
      <c r="G560" s="29"/>
      <c r="H560" s="187"/>
      <c r="I560" s="187"/>
      <c r="J560" s="195"/>
      <c r="K560" s="86" t="str">
        <f t="shared" si="64"/>
        <v/>
      </c>
      <c r="L560" s="57" t="str">
        <f t="shared" si="71"/>
        <v/>
      </c>
      <c r="M560" s="186"/>
      <c r="N560" s="189"/>
      <c r="O560" s="190"/>
      <c r="P560" s="190" t="str">
        <f>IF(OR(ISBLANK(V560),COUNTBLANK(V560:$V$1048576)=ROWS(V560:$V$1048576)),"",$R$2*(1+SUM(V$7:V560)))</f>
        <v/>
      </c>
      <c r="Q560" s="191"/>
      <c r="R560" s="189"/>
      <c r="S560" s="53" t="str">
        <f t="shared" si="65"/>
        <v/>
      </c>
      <c r="T560" s="63" t="str">
        <f t="shared" si="66"/>
        <v/>
      </c>
      <c r="U560" s="64" t="str">
        <f>IF(OR(ISBLANK(Trades!R560), ISBLANK(Trades!H560), ISBLANK(Trades!I560)), "", IF(Trades!H560=Trades!I560, "N/A", (Trades!R560-Trades!H560)/(Trades!H560-Trades!I560)))</f>
        <v/>
      </c>
      <c r="V560" s="65" t="str">
        <f t="shared" si="67"/>
        <v/>
      </c>
      <c r="W560" s="66" t="str">
        <f t="shared" si="68"/>
        <v/>
      </c>
      <c r="X560" s="62" t="str">
        <f t="shared" si="69"/>
        <v/>
      </c>
      <c r="Y560" s="45"/>
      <c r="Z560" s="44"/>
      <c r="AA560" s="41"/>
      <c r="AB560" s="39"/>
      <c r="AC560" s="37" t="str">
        <f t="shared" si="70"/>
        <v/>
      </c>
    </row>
    <row r="561" spans="2:29" x14ac:dyDescent="0.25">
      <c r="B561" s="54">
        <v>555</v>
      </c>
      <c r="C561" s="168"/>
      <c r="D561" s="51"/>
      <c r="E561" s="29"/>
      <c r="F561" s="48"/>
      <c r="G561" s="29"/>
      <c r="H561" s="187"/>
      <c r="I561" s="187"/>
      <c r="J561" s="195"/>
      <c r="K561" s="86" t="str">
        <f t="shared" si="64"/>
        <v/>
      </c>
      <c r="L561" s="57" t="str">
        <f t="shared" si="71"/>
        <v/>
      </c>
      <c r="M561" s="186"/>
      <c r="N561" s="189"/>
      <c r="O561" s="190"/>
      <c r="P561" s="190" t="str">
        <f>IF(OR(ISBLANK(V561),COUNTBLANK(V561:$V$1048576)=ROWS(V561:$V$1048576)),"",$R$2*(1+SUM(V$7:V561)))</f>
        <v/>
      </c>
      <c r="Q561" s="191"/>
      <c r="R561" s="189"/>
      <c r="S561" s="53" t="str">
        <f t="shared" si="65"/>
        <v/>
      </c>
      <c r="T561" s="63" t="str">
        <f t="shared" si="66"/>
        <v/>
      </c>
      <c r="U561" s="64" t="str">
        <f>IF(OR(ISBLANK(Trades!R561), ISBLANK(Trades!H561), ISBLANK(Trades!I561)), "", IF(Trades!H561=Trades!I561, "N/A", (Trades!R561-Trades!H561)/(Trades!H561-Trades!I561)))</f>
        <v/>
      </c>
      <c r="V561" s="65" t="str">
        <f t="shared" si="67"/>
        <v/>
      </c>
      <c r="W561" s="66" t="str">
        <f t="shared" si="68"/>
        <v/>
      </c>
      <c r="X561" s="62" t="str">
        <f t="shared" si="69"/>
        <v/>
      </c>
      <c r="Y561" s="45"/>
      <c r="Z561" s="44"/>
      <c r="AA561" s="41"/>
      <c r="AB561" s="39"/>
      <c r="AC561" s="37" t="str">
        <f t="shared" si="70"/>
        <v/>
      </c>
    </row>
    <row r="562" spans="2:29" x14ac:dyDescent="0.25">
      <c r="B562" s="54">
        <v>556</v>
      </c>
      <c r="C562" s="168"/>
      <c r="D562" s="51"/>
      <c r="E562" s="29"/>
      <c r="F562" s="48"/>
      <c r="G562" s="29"/>
      <c r="H562" s="187"/>
      <c r="I562" s="187"/>
      <c r="J562" s="195"/>
      <c r="K562" s="86" t="str">
        <f t="shared" si="64"/>
        <v/>
      </c>
      <c r="L562" s="57" t="str">
        <f t="shared" si="71"/>
        <v/>
      </c>
      <c r="M562" s="186"/>
      <c r="N562" s="189"/>
      <c r="O562" s="190"/>
      <c r="P562" s="190" t="str">
        <f>IF(OR(ISBLANK(V562),COUNTBLANK(V562:$V$1048576)=ROWS(V562:$V$1048576)),"",$R$2*(1+SUM(V$7:V562)))</f>
        <v/>
      </c>
      <c r="Q562" s="191"/>
      <c r="R562" s="189"/>
      <c r="S562" s="53" t="str">
        <f t="shared" si="65"/>
        <v/>
      </c>
      <c r="T562" s="63" t="str">
        <f t="shared" si="66"/>
        <v/>
      </c>
      <c r="U562" s="64" t="str">
        <f>IF(OR(ISBLANK(Trades!R562), ISBLANK(Trades!H562), ISBLANK(Trades!I562)), "", IF(Trades!H562=Trades!I562, "N/A", (Trades!R562-Trades!H562)/(Trades!H562-Trades!I562)))</f>
        <v/>
      </c>
      <c r="V562" s="65" t="str">
        <f t="shared" si="67"/>
        <v/>
      </c>
      <c r="W562" s="66" t="str">
        <f t="shared" si="68"/>
        <v/>
      </c>
      <c r="X562" s="62" t="str">
        <f t="shared" si="69"/>
        <v/>
      </c>
      <c r="Y562" s="45"/>
      <c r="Z562" s="44"/>
      <c r="AA562" s="41"/>
      <c r="AB562" s="39"/>
      <c r="AC562" s="37" t="str">
        <f t="shared" si="70"/>
        <v/>
      </c>
    </row>
    <row r="563" spans="2:29" x14ac:dyDescent="0.25">
      <c r="B563" s="54">
        <v>557</v>
      </c>
      <c r="C563" s="168"/>
      <c r="D563" s="51"/>
      <c r="E563" s="29"/>
      <c r="F563" s="48"/>
      <c r="G563" s="29"/>
      <c r="H563" s="187"/>
      <c r="I563" s="187"/>
      <c r="J563" s="195"/>
      <c r="K563" s="86" t="str">
        <f t="shared" si="64"/>
        <v/>
      </c>
      <c r="L563" s="57" t="str">
        <f t="shared" si="71"/>
        <v/>
      </c>
      <c r="M563" s="186"/>
      <c r="N563" s="189"/>
      <c r="O563" s="190"/>
      <c r="P563" s="190" t="str">
        <f>IF(OR(ISBLANK(V563),COUNTBLANK(V563:$V$1048576)=ROWS(V563:$V$1048576)),"",$R$2*(1+SUM(V$7:V563)))</f>
        <v/>
      </c>
      <c r="Q563" s="191"/>
      <c r="R563" s="189"/>
      <c r="S563" s="53" t="str">
        <f t="shared" si="65"/>
        <v/>
      </c>
      <c r="T563" s="63" t="str">
        <f t="shared" si="66"/>
        <v/>
      </c>
      <c r="U563" s="64" t="str">
        <f>IF(OR(ISBLANK(Trades!R563), ISBLANK(Trades!H563), ISBLANK(Trades!I563)), "", IF(Trades!H563=Trades!I563, "N/A", (Trades!R563-Trades!H563)/(Trades!H563-Trades!I563)))</f>
        <v/>
      </c>
      <c r="V563" s="65" t="str">
        <f t="shared" si="67"/>
        <v/>
      </c>
      <c r="W563" s="66" t="str">
        <f t="shared" si="68"/>
        <v/>
      </c>
      <c r="X563" s="62" t="str">
        <f t="shared" si="69"/>
        <v/>
      </c>
      <c r="Y563" s="45"/>
      <c r="Z563" s="44"/>
      <c r="AA563" s="41"/>
      <c r="AB563" s="39"/>
      <c r="AC563" s="37" t="str">
        <f t="shared" si="70"/>
        <v/>
      </c>
    </row>
    <row r="564" spans="2:29" x14ac:dyDescent="0.25">
      <c r="B564" s="54">
        <v>558</v>
      </c>
      <c r="C564" s="168"/>
      <c r="D564" s="51"/>
      <c r="E564" s="29"/>
      <c r="F564" s="48"/>
      <c r="G564" s="29"/>
      <c r="H564" s="187"/>
      <c r="I564" s="187"/>
      <c r="J564" s="195"/>
      <c r="K564" s="86" t="str">
        <f t="shared" si="64"/>
        <v/>
      </c>
      <c r="L564" s="57" t="str">
        <f t="shared" si="71"/>
        <v/>
      </c>
      <c r="M564" s="186"/>
      <c r="N564" s="189"/>
      <c r="O564" s="190"/>
      <c r="P564" s="190" t="str">
        <f>IF(OR(ISBLANK(V564),COUNTBLANK(V564:$V$1048576)=ROWS(V564:$V$1048576)),"",$R$2*(1+SUM(V$7:V564)))</f>
        <v/>
      </c>
      <c r="Q564" s="191"/>
      <c r="R564" s="189"/>
      <c r="S564" s="53" t="str">
        <f t="shared" si="65"/>
        <v/>
      </c>
      <c r="T564" s="63" t="str">
        <f t="shared" si="66"/>
        <v/>
      </c>
      <c r="U564" s="64" t="str">
        <f>IF(OR(ISBLANK(Trades!R564), ISBLANK(Trades!H564), ISBLANK(Trades!I564)), "", IF(Trades!H564=Trades!I564, "N/A", (Trades!R564-Trades!H564)/(Trades!H564-Trades!I564)))</f>
        <v/>
      </c>
      <c r="V564" s="65" t="str">
        <f t="shared" si="67"/>
        <v/>
      </c>
      <c r="W564" s="66" t="str">
        <f t="shared" si="68"/>
        <v/>
      </c>
      <c r="X564" s="62" t="str">
        <f t="shared" si="69"/>
        <v/>
      </c>
      <c r="Y564" s="45"/>
      <c r="Z564" s="44"/>
      <c r="AA564" s="41"/>
      <c r="AB564" s="39"/>
      <c r="AC564" s="37" t="str">
        <f t="shared" si="70"/>
        <v/>
      </c>
    </row>
    <row r="565" spans="2:29" x14ac:dyDescent="0.25">
      <c r="B565" s="54">
        <v>559</v>
      </c>
      <c r="C565" s="168"/>
      <c r="D565" s="51"/>
      <c r="E565" s="29"/>
      <c r="F565" s="48"/>
      <c r="G565" s="29"/>
      <c r="H565" s="187"/>
      <c r="I565" s="187"/>
      <c r="J565" s="195"/>
      <c r="K565" s="86" t="str">
        <f t="shared" si="64"/>
        <v/>
      </c>
      <c r="L565" s="57" t="str">
        <f t="shared" si="71"/>
        <v/>
      </c>
      <c r="M565" s="186"/>
      <c r="N565" s="189"/>
      <c r="O565" s="190"/>
      <c r="P565" s="190" t="str">
        <f>IF(OR(ISBLANK(V565),COUNTBLANK(V565:$V$1048576)=ROWS(V565:$V$1048576)),"",$R$2*(1+SUM(V$7:V565)))</f>
        <v/>
      </c>
      <c r="Q565" s="191"/>
      <c r="R565" s="189"/>
      <c r="S565" s="53" t="str">
        <f t="shared" si="65"/>
        <v/>
      </c>
      <c r="T565" s="63" t="str">
        <f t="shared" si="66"/>
        <v/>
      </c>
      <c r="U565" s="64" t="str">
        <f>IF(OR(ISBLANK(Trades!R565), ISBLANK(Trades!H565), ISBLANK(Trades!I565)), "", IF(Trades!H565=Trades!I565, "N/A", (Trades!R565-Trades!H565)/(Trades!H565-Trades!I565)))</f>
        <v/>
      </c>
      <c r="V565" s="65" t="str">
        <f t="shared" si="67"/>
        <v/>
      </c>
      <c r="W565" s="66" t="str">
        <f t="shared" si="68"/>
        <v/>
      </c>
      <c r="X565" s="62" t="str">
        <f t="shared" si="69"/>
        <v/>
      </c>
      <c r="Y565" s="45"/>
      <c r="Z565" s="44"/>
      <c r="AA565" s="41"/>
      <c r="AB565" s="39"/>
      <c r="AC565" s="37" t="str">
        <f t="shared" si="70"/>
        <v/>
      </c>
    </row>
    <row r="566" spans="2:29" x14ac:dyDescent="0.25">
      <c r="B566" s="54">
        <v>560</v>
      </c>
      <c r="C566" s="168"/>
      <c r="D566" s="51"/>
      <c r="E566" s="29"/>
      <c r="F566" s="48"/>
      <c r="G566" s="29"/>
      <c r="H566" s="187"/>
      <c r="I566" s="187"/>
      <c r="J566" s="195"/>
      <c r="K566" s="86" t="str">
        <f t="shared" si="64"/>
        <v/>
      </c>
      <c r="L566" s="57" t="str">
        <f t="shared" si="71"/>
        <v/>
      </c>
      <c r="M566" s="186"/>
      <c r="N566" s="189"/>
      <c r="O566" s="190"/>
      <c r="P566" s="190" t="str">
        <f>IF(OR(ISBLANK(V566),COUNTBLANK(V566:$V$1048576)=ROWS(V566:$V$1048576)),"",$R$2*(1+SUM(V$7:V566)))</f>
        <v/>
      </c>
      <c r="Q566" s="191"/>
      <c r="R566" s="189"/>
      <c r="S566" s="53" t="str">
        <f t="shared" si="65"/>
        <v/>
      </c>
      <c r="T566" s="63" t="str">
        <f t="shared" si="66"/>
        <v/>
      </c>
      <c r="U566" s="64" t="str">
        <f>IF(OR(ISBLANK(Trades!R566), ISBLANK(Trades!H566), ISBLANK(Trades!I566)), "", IF(Trades!H566=Trades!I566, "N/A", (Trades!R566-Trades!H566)/(Trades!H566-Trades!I566)))</f>
        <v/>
      </c>
      <c r="V566" s="65" t="str">
        <f t="shared" si="67"/>
        <v/>
      </c>
      <c r="W566" s="66" t="str">
        <f t="shared" si="68"/>
        <v/>
      </c>
      <c r="X566" s="62" t="str">
        <f t="shared" si="69"/>
        <v/>
      </c>
      <c r="Y566" s="45"/>
      <c r="Z566" s="44"/>
      <c r="AA566" s="41"/>
      <c r="AB566" s="39"/>
      <c r="AC566" s="37" t="str">
        <f t="shared" si="70"/>
        <v/>
      </c>
    </row>
    <row r="567" spans="2:29" x14ac:dyDescent="0.25">
      <c r="B567" s="54">
        <v>561</v>
      </c>
      <c r="C567" s="168"/>
      <c r="D567" s="51"/>
      <c r="E567" s="29"/>
      <c r="F567" s="48"/>
      <c r="G567" s="29"/>
      <c r="H567" s="187"/>
      <c r="I567" s="187"/>
      <c r="J567" s="195"/>
      <c r="K567" s="86" t="str">
        <f t="shared" si="64"/>
        <v/>
      </c>
      <c r="L567" s="57" t="str">
        <f t="shared" si="71"/>
        <v/>
      </c>
      <c r="M567" s="186"/>
      <c r="N567" s="189"/>
      <c r="O567" s="190"/>
      <c r="P567" s="190" t="str">
        <f>IF(OR(ISBLANK(V567),COUNTBLANK(V567:$V$1048576)=ROWS(V567:$V$1048576)),"",$R$2*(1+SUM(V$7:V567)))</f>
        <v/>
      </c>
      <c r="Q567" s="191"/>
      <c r="R567" s="189"/>
      <c r="S567" s="53" t="str">
        <f t="shared" si="65"/>
        <v/>
      </c>
      <c r="T567" s="63" t="str">
        <f t="shared" si="66"/>
        <v/>
      </c>
      <c r="U567" s="64" t="str">
        <f>IF(OR(ISBLANK(Trades!R567), ISBLANK(Trades!H567), ISBLANK(Trades!I567)), "", IF(Trades!H567=Trades!I567, "N/A", (Trades!R567-Trades!H567)/(Trades!H567-Trades!I567)))</f>
        <v/>
      </c>
      <c r="V567" s="65" t="str">
        <f t="shared" si="67"/>
        <v/>
      </c>
      <c r="W567" s="66" t="str">
        <f t="shared" si="68"/>
        <v/>
      </c>
      <c r="X567" s="62" t="str">
        <f t="shared" si="69"/>
        <v/>
      </c>
      <c r="Y567" s="45"/>
      <c r="Z567" s="44"/>
      <c r="AA567" s="41"/>
      <c r="AB567" s="39"/>
      <c r="AC567" s="37" t="str">
        <f t="shared" si="70"/>
        <v/>
      </c>
    </row>
    <row r="568" spans="2:29" x14ac:dyDescent="0.25">
      <c r="B568" s="54">
        <v>562</v>
      </c>
      <c r="C568" s="168"/>
      <c r="D568" s="51"/>
      <c r="E568" s="29"/>
      <c r="F568" s="48"/>
      <c r="G568" s="29"/>
      <c r="H568" s="187"/>
      <c r="I568" s="187"/>
      <c r="J568" s="195"/>
      <c r="K568" s="86" t="str">
        <f t="shared" si="64"/>
        <v/>
      </c>
      <c r="L568" s="57" t="str">
        <f t="shared" si="71"/>
        <v/>
      </c>
      <c r="M568" s="186"/>
      <c r="N568" s="189"/>
      <c r="O568" s="190"/>
      <c r="P568" s="190" t="str">
        <f>IF(OR(ISBLANK(V568),COUNTBLANK(V568:$V$1048576)=ROWS(V568:$V$1048576)),"",$R$2*(1+SUM(V$7:V568)))</f>
        <v/>
      </c>
      <c r="Q568" s="191"/>
      <c r="R568" s="189"/>
      <c r="S568" s="53" t="str">
        <f t="shared" si="65"/>
        <v/>
      </c>
      <c r="T568" s="63" t="str">
        <f t="shared" si="66"/>
        <v/>
      </c>
      <c r="U568" s="64" t="str">
        <f>IF(OR(ISBLANK(Trades!R568), ISBLANK(Trades!H568), ISBLANK(Trades!I568)), "", IF(Trades!H568=Trades!I568, "N/A", (Trades!R568-Trades!H568)/(Trades!H568-Trades!I568)))</f>
        <v/>
      </c>
      <c r="V568" s="65" t="str">
        <f t="shared" si="67"/>
        <v/>
      </c>
      <c r="W568" s="66" t="str">
        <f t="shared" si="68"/>
        <v/>
      </c>
      <c r="X568" s="62" t="str">
        <f t="shared" si="69"/>
        <v/>
      </c>
      <c r="Y568" s="45"/>
      <c r="Z568" s="44"/>
      <c r="AA568" s="41"/>
      <c r="AB568" s="39"/>
      <c r="AC568" s="37" t="str">
        <f t="shared" si="70"/>
        <v/>
      </c>
    </row>
    <row r="569" spans="2:29" x14ac:dyDescent="0.25">
      <c r="B569" s="54">
        <v>563</v>
      </c>
      <c r="C569" s="168"/>
      <c r="D569" s="51"/>
      <c r="E569" s="29"/>
      <c r="F569" s="48"/>
      <c r="G569" s="29"/>
      <c r="H569" s="187"/>
      <c r="I569" s="187"/>
      <c r="J569" s="195"/>
      <c r="K569" s="86" t="str">
        <f t="shared" si="64"/>
        <v/>
      </c>
      <c r="L569" s="57" t="str">
        <f t="shared" si="71"/>
        <v/>
      </c>
      <c r="M569" s="186"/>
      <c r="N569" s="189"/>
      <c r="O569" s="190"/>
      <c r="P569" s="190" t="str">
        <f>IF(OR(ISBLANK(V569),COUNTBLANK(V569:$V$1048576)=ROWS(V569:$V$1048576)),"",$R$2*(1+SUM(V$7:V569)))</f>
        <v/>
      </c>
      <c r="Q569" s="191"/>
      <c r="R569" s="189"/>
      <c r="S569" s="53" t="str">
        <f t="shared" si="65"/>
        <v/>
      </c>
      <c r="T569" s="63" t="str">
        <f t="shared" si="66"/>
        <v/>
      </c>
      <c r="U569" s="64" t="str">
        <f>IF(OR(ISBLANK(Trades!R569), ISBLANK(Trades!H569), ISBLANK(Trades!I569)), "", IF(Trades!H569=Trades!I569, "N/A", (Trades!R569-Trades!H569)/(Trades!H569-Trades!I569)))</f>
        <v/>
      </c>
      <c r="V569" s="65" t="str">
        <f t="shared" si="67"/>
        <v/>
      </c>
      <c r="W569" s="66" t="str">
        <f t="shared" si="68"/>
        <v/>
      </c>
      <c r="X569" s="62" t="str">
        <f t="shared" si="69"/>
        <v/>
      </c>
      <c r="Y569" s="45"/>
      <c r="Z569" s="44"/>
      <c r="AA569" s="41"/>
      <c r="AB569" s="39"/>
      <c r="AC569" s="37" t="str">
        <f t="shared" si="70"/>
        <v/>
      </c>
    </row>
    <row r="570" spans="2:29" x14ac:dyDescent="0.25">
      <c r="B570" s="54">
        <v>564</v>
      </c>
      <c r="C570" s="168"/>
      <c r="D570" s="51"/>
      <c r="E570" s="29"/>
      <c r="F570" s="48"/>
      <c r="G570" s="29"/>
      <c r="H570" s="187"/>
      <c r="I570" s="187"/>
      <c r="J570" s="195"/>
      <c r="K570" s="86" t="str">
        <f t="shared" si="64"/>
        <v/>
      </c>
      <c r="L570" s="57" t="str">
        <f t="shared" si="71"/>
        <v/>
      </c>
      <c r="M570" s="186"/>
      <c r="N570" s="189"/>
      <c r="O570" s="190"/>
      <c r="P570" s="190" t="str">
        <f>IF(OR(ISBLANK(V570),COUNTBLANK(V570:$V$1048576)=ROWS(V570:$V$1048576)),"",$R$2*(1+SUM(V$7:V570)))</f>
        <v/>
      </c>
      <c r="Q570" s="191"/>
      <c r="R570" s="189"/>
      <c r="S570" s="53" t="str">
        <f t="shared" si="65"/>
        <v/>
      </c>
      <c r="T570" s="63" t="str">
        <f t="shared" si="66"/>
        <v/>
      </c>
      <c r="U570" s="64" t="str">
        <f>IF(OR(ISBLANK(Trades!R570), ISBLANK(Trades!H570), ISBLANK(Trades!I570)), "", IF(Trades!H570=Trades!I570, "N/A", (Trades!R570-Trades!H570)/(Trades!H570-Trades!I570)))</f>
        <v/>
      </c>
      <c r="V570" s="65" t="str">
        <f t="shared" si="67"/>
        <v/>
      </c>
      <c r="W570" s="66" t="str">
        <f t="shared" si="68"/>
        <v/>
      </c>
      <c r="X570" s="62" t="str">
        <f t="shared" si="69"/>
        <v/>
      </c>
      <c r="Y570" s="45"/>
      <c r="Z570" s="44"/>
      <c r="AA570" s="41"/>
      <c r="AB570" s="39"/>
      <c r="AC570" s="37" t="str">
        <f t="shared" si="70"/>
        <v/>
      </c>
    </row>
    <row r="571" spans="2:29" x14ac:dyDescent="0.25">
      <c r="B571" s="54">
        <v>565</v>
      </c>
      <c r="C571" s="168"/>
      <c r="D571" s="51"/>
      <c r="E571" s="29"/>
      <c r="F571" s="48"/>
      <c r="G571" s="29"/>
      <c r="H571" s="187"/>
      <c r="I571" s="187"/>
      <c r="J571" s="195"/>
      <c r="K571" s="86" t="str">
        <f t="shared" si="64"/>
        <v/>
      </c>
      <c r="L571" s="57" t="str">
        <f t="shared" si="71"/>
        <v/>
      </c>
      <c r="M571" s="186"/>
      <c r="N571" s="189"/>
      <c r="O571" s="190"/>
      <c r="P571" s="190" t="str">
        <f>IF(OR(ISBLANK(V571),COUNTBLANK(V571:$V$1048576)=ROWS(V571:$V$1048576)),"",$R$2*(1+SUM(V$7:V571)))</f>
        <v/>
      </c>
      <c r="Q571" s="191"/>
      <c r="R571" s="189"/>
      <c r="S571" s="53" t="str">
        <f t="shared" si="65"/>
        <v/>
      </c>
      <c r="T571" s="63" t="str">
        <f t="shared" si="66"/>
        <v/>
      </c>
      <c r="U571" s="64" t="str">
        <f>IF(OR(ISBLANK(Trades!R571), ISBLANK(Trades!H571), ISBLANK(Trades!I571)), "", IF(Trades!H571=Trades!I571, "N/A", (Trades!R571-Trades!H571)/(Trades!H571-Trades!I571)))</f>
        <v/>
      </c>
      <c r="V571" s="65" t="str">
        <f t="shared" si="67"/>
        <v/>
      </c>
      <c r="W571" s="66" t="str">
        <f t="shared" si="68"/>
        <v/>
      </c>
      <c r="X571" s="62" t="str">
        <f t="shared" si="69"/>
        <v/>
      </c>
      <c r="Y571" s="45"/>
      <c r="Z571" s="44"/>
      <c r="AA571" s="41"/>
      <c r="AB571" s="39"/>
      <c r="AC571" s="37" t="str">
        <f t="shared" si="70"/>
        <v/>
      </c>
    </row>
    <row r="572" spans="2:29" x14ac:dyDescent="0.25">
      <c r="B572" s="54">
        <v>566</v>
      </c>
      <c r="C572" s="168"/>
      <c r="D572" s="51"/>
      <c r="E572" s="29"/>
      <c r="F572" s="48"/>
      <c r="G572" s="29"/>
      <c r="H572" s="187"/>
      <c r="I572" s="187"/>
      <c r="J572" s="195"/>
      <c r="K572" s="86" t="str">
        <f t="shared" si="64"/>
        <v/>
      </c>
      <c r="L572" s="57" t="str">
        <f t="shared" si="71"/>
        <v/>
      </c>
      <c r="M572" s="186"/>
      <c r="N572" s="189"/>
      <c r="O572" s="190"/>
      <c r="P572" s="190" t="str">
        <f>IF(OR(ISBLANK(V572),COUNTBLANK(V572:$V$1048576)=ROWS(V572:$V$1048576)),"",$R$2*(1+SUM(V$7:V572)))</f>
        <v/>
      </c>
      <c r="Q572" s="191"/>
      <c r="R572" s="189"/>
      <c r="S572" s="53" t="str">
        <f t="shared" si="65"/>
        <v/>
      </c>
      <c r="T572" s="63" t="str">
        <f t="shared" si="66"/>
        <v/>
      </c>
      <c r="U572" s="64" t="str">
        <f>IF(OR(ISBLANK(Trades!R572), ISBLANK(Trades!H572), ISBLANK(Trades!I572)), "", IF(Trades!H572=Trades!I572, "N/A", (Trades!R572-Trades!H572)/(Trades!H572-Trades!I572)))</f>
        <v/>
      </c>
      <c r="V572" s="65" t="str">
        <f t="shared" si="67"/>
        <v/>
      </c>
      <c r="W572" s="66" t="str">
        <f t="shared" si="68"/>
        <v/>
      </c>
      <c r="X572" s="62" t="str">
        <f t="shared" si="69"/>
        <v/>
      </c>
      <c r="Y572" s="45"/>
      <c r="Z572" s="44"/>
      <c r="AA572" s="41"/>
      <c r="AB572" s="39"/>
      <c r="AC572" s="37" t="str">
        <f t="shared" si="70"/>
        <v/>
      </c>
    </row>
    <row r="573" spans="2:29" x14ac:dyDescent="0.25">
      <c r="B573" s="54">
        <v>567</v>
      </c>
      <c r="C573" s="168"/>
      <c r="D573" s="51"/>
      <c r="E573" s="29"/>
      <c r="F573" s="48"/>
      <c r="G573" s="29"/>
      <c r="H573" s="187"/>
      <c r="I573" s="187"/>
      <c r="J573" s="195"/>
      <c r="K573" s="86" t="str">
        <f t="shared" si="64"/>
        <v/>
      </c>
      <c r="L573" s="57" t="str">
        <f t="shared" si="71"/>
        <v/>
      </c>
      <c r="M573" s="186"/>
      <c r="N573" s="189"/>
      <c r="O573" s="190"/>
      <c r="P573" s="190" t="str">
        <f>IF(OR(ISBLANK(V573),COUNTBLANK(V573:$V$1048576)=ROWS(V573:$V$1048576)),"",$R$2*(1+SUM(V$7:V573)))</f>
        <v/>
      </c>
      <c r="Q573" s="191"/>
      <c r="R573" s="189"/>
      <c r="S573" s="53" t="str">
        <f t="shared" si="65"/>
        <v/>
      </c>
      <c r="T573" s="63" t="str">
        <f t="shared" si="66"/>
        <v/>
      </c>
      <c r="U573" s="64" t="str">
        <f>IF(OR(ISBLANK(Trades!R573), ISBLANK(Trades!H573), ISBLANK(Trades!I573)), "", IF(Trades!H573=Trades!I573, "N/A", (Trades!R573-Trades!H573)/(Trades!H573-Trades!I573)))</f>
        <v/>
      </c>
      <c r="V573" s="65" t="str">
        <f t="shared" si="67"/>
        <v/>
      </c>
      <c r="W573" s="66" t="str">
        <f t="shared" si="68"/>
        <v/>
      </c>
      <c r="X573" s="62" t="str">
        <f t="shared" si="69"/>
        <v/>
      </c>
      <c r="Y573" s="45"/>
      <c r="Z573" s="44"/>
      <c r="AA573" s="41"/>
      <c r="AB573" s="39"/>
      <c r="AC573" s="37" t="str">
        <f t="shared" si="70"/>
        <v/>
      </c>
    </row>
    <row r="574" spans="2:29" x14ac:dyDescent="0.25">
      <c r="B574" s="54">
        <v>568</v>
      </c>
      <c r="C574" s="168"/>
      <c r="D574" s="51"/>
      <c r="E574" s="29"/>
      <c r="F574" s="48"/>
      <c r="G574" s="29"/>
      <c r="H574" s="187"/>
      <c r="I574" s="187"/>
      <c r="J574" s="195"/>
      <c r="K574" s="86" t="str">
        <f t="shared" si="64"/>
        <v/>
      </c>
      <c r="L574" s="57" t="str">
        <f t="shared" si="71"/>
        <v/>
      </c>
      <c r="M574" s="186"/>
      <c r="N574" s="189"/>
      <c r="O574" s="190"/>
      <c r="P574" s="190" t="str">
        <f>IF(OR(ISBLANK(V574),COUNTBLANK(V574:$V$1048576)=ROWS(V574:$V$1048576)),"",$R$2*(1+SUM(V$7:V574)))</f>
        <v/>
      </c>
      <c r="Q574" s="191"/>
      <c r="R574" s="189"/>
      <c r="S574" s="53" t="str">
        <f t="shared" si="65"/>
        <v/>
      </c>
      <c r="T574" s="63" t="str">
        <f t="shared" si="66"/>
        <v/>
      </c>
      <c r="U574" s="64" t="str">
        <f>IF(OR(ISBLANK(Trades!R574), ISBLANK(Trades!H574), ISBLANK(Trades!I574)), "", IF(Trades!H574=Trades!I574, "N/A", (Trades!R574-Trades!H574)/(Trades!H574-Trades!I574)))</f>
        <v/>
      </c>
      <c r="V574" s="65" t="str">
        <f t="shared" si="67"/>
        <v/>
      </c>
      <c r="W574" s="66" t="str">
        <f t="shared" si="68"/>
        <v/>
      </c>
      <c r="X574" s="62" t="str">
        <f t="shared" si="69"/>
        <v/>
      </c>
      <c r="Y574" s="45"/>
      <c r="Z574" s="44"/>
      <c r="AA574" s="41"/>
      <c r="AB574" s="39"/>
      <c r="AC574" s="37" t="str">
        <f t="shared" si="70"/>
        <v/>
      </c>
    </row>
    <row r="575" spans="2:29" x14ac:dyDescent="0.25">
      <c r="B575" s="54">
        <v>569</v>
      </c>
      <c r="C575" s="168"/>
      <c r="D575" s="51"/>
      <c r="E575" s="29"/>
      <c r="F575" s="48"/>
      <c r="G575" s="29"/>
      <c r="H575" s="187"/>
      <c r="I575" s="187"/>
      <c r="J575" s="195"/>
      <c r="K575" s="86" t="str">
        <f t="shared" si="64"/>
        <v/>
      </c>
      <c r="L575" s="57" t="str">
        <f t="shared" si="71"/>
        <v/>
      </c>
      <c r="M575" s="186"/>
      <c r="N575" s="189"/>
      <c r="O575" s="190"/>
      <c r="P575" s="190" t="str">
        <f>IF(OR(ISBLANK(V575),COUNTBLANK(V575:$V$1048576)=ROWS(V575:$V$1048576)),"",$R$2*(1+SUM(V$7:V575)))</f>
        <v/>
      </c>
      <c r="Q575" s="191"/>
      <c r="R575" s="189"/>
      <c r="S575" s="53" t="str">
        <f t="shared" si="65"/>
        <v/>
      </c>
      <c r="T575" s="63" t="str">
        <f t="shared" si="66"/>
        <v/>
      </c>
      <c r="U575" s="64" t="str">
        <f>IF(OR(ISBLANK(Trades!R575), ISBLANK(Trades!H575), ISBLANK(Trades!I575)), "", IF(Trades!H575=Trades!I575, "N/A", (Trades!R575-Trades!H575)/(Trades!H575-Trades!I575)))</f>
        <v/>
      </c>
      <c r="V575" s="65" t="str">
        <f t="shared" si="67"/>
        <v/>
      </c>
      <c r="W575" s="66" t="str">
        <f t="shared" si="68"/>
        <v/>
      </c>
      <c r="X575" s="62" t="str">
        <f t="shared" si="69"/>
        <v/>
      </c>
      <c r="Y575" s="45"/>
      <c r="Z575" s="44"/>
      <c r="AA575" s="41"/>
      <c r="AB575" s="39"/>
      <c r="AC575" s="37" t="str">
        <f t="shared" si="70"/>
        <v/>
      </c>
    </row>
    <row r="576" spans="2:29" x14ac:dyDescent="0.25">
      <c r="B576" s="54">
        <v>570</v>
      </c>
      <c r="C576" s="168"/>
      <c r="D576" s="51"/>
      <c r="E576" s="29"/>
      <c r="F576" s="48"/>
      <c r="G576" s="29"/>
      <c r="H576" s="187"/>
      <c r="I576" s="187"/>
      <c r="J576" s="195"/>
      <c r="K576" s="86" t="str">
        <f t="shared" si="64"/>
        <v/>
      </c>
      <c r="L576" s="57" t="str">
        <f t="shared" si="71"/>
        <v/>
      </c>
      <c r="M576" s="186"/>
      <c r="N576" s="189"/>
      <c r="O576" s="190"/>
      <c r="P576" s="190" t="str">
        <f>IF(OR(ISBLANK(V576),COUNTBLANK(V576:$V$1048576)=ROWS(V576:$V$1048576)),"",$R$2*(1+SUM(V$7:V576)))</f>
        <v/>
      </c>
      <c r="Q576" s="191"/>
      <c r="R576" s="189"/>
      <c r="S576" s="53" t="str">
        <f t="shared" si="65"/>
        <v/>
      </c>
      <c r="T576" s="63" t="str">
        <f t="shared" si="66"/>
        <v/>
      </c>
      <c r="U576" s="64" t="str">
        <f>IF(OR(ISBLANK(Trades!R576), ISBLANK(Trades!H576), ISBLANK(Trades!I576)), "", IF(Trades!H576=Trades!I576, "N/A", (Trades!R576-Trades!H576)/(Trades!H576-Trades!I576)))</f>
        <v/>
      </c>
      <c r="V576" s="65" t="str">
        <f t="shared" si="67"/>
        <v/>
      </c>
      <c r="W576" s="66" t="str">
        <f t="shared" si="68"/>
        <v/>
      </c>
      <c r="X576" s="62" t="str">
        <f t="shared" si="69"/>
        <v/>
      </c>
      <c r="Y576" s="45"/>
      <c r="Z576" s="44"/>
      <c r="AA576" s="41"/>
      <c r="AB576" s="39"/>
      <c r="AC576" s="37" t="str">
        <f t="shared" si="70"/>
        <v/>
      </c>
    </row>
    <row r="577" spans="2:29" x14ac:dyDescent="0.25">
      <c r="B577" s="54">
        <v>571</v>
      </c>
      <c r="C577" s="168"/>
      <c r="D577" s="51"/>
      <c r="E577" s="29"/>
      <c r="F577" s="48"/>
      <c r="G577" s="29"/>
      <c r="H577" s="187"/>
      <c r="I577" s="187"/>
      <c r="J577" s="195"/>
      <c r="K577" s="86" t="str">
        <f t="shared" si="64"/>
        <v/>
      </c>
      <c r="L577" s="57" t="str">
        <f t="shared" si="71"/>
        <v/>
      </c>
      <c r="M577" s="186"/>
      <c r="N577" s="189"/>
      <c r="O577" s="190"/>
      <c r="P577" s="190" t="str">
        <f>IF(OR(ISBLANK(V577),COUNTBLANK(V577:$V$1048576)=ROWS(V577:$V$1048576)),"",$R$2*(1+SUM(V$7:V577)))</f>
        <v/>
      </c>
      <c r="Q577" s="191"/>
      <c r="R577" s="189"/>
      <c r="S577" s="53" t="str">
        <f t="shared" si="65"/>
        <v/>
      </c>
      <c r="T577" s="63" t="str">
        <f t="shared" si="66"/>
        <v/>
      </c>
      <c r="U577" s="64" t="str">
        <f>IF(OR(ISBLANK(Trades!R577), ISBLANK(Trades!H577), ISBLANK(Trades!I577)), "", IF(Trades!H577=Trades!I577, "N/A", (Trades!R577-Trades!H577)/(Trades!H577-Trades!I577)))</f>
        <v/>
      </c>
      <c r="V577" s="65" t="str">
        <f t="shared" si="67"/>
        <v/>
      </c>
      <c r="W577" s="66" t="str">
        <f t="shared" si="68"/>
        <v/>
      </c>
      <c r="X577" s="62" t="str">
        <f t="shared" si="69"/>
        <v/>
      </c>
      <c r="Y577" s="45"/>
      <c r="Z577" s="44"/>
      <c r="AA577" s="41"/>
      <c r="AB577" s="39"/>
      <c r="AC577" s="37" t="str">
        <f t="shared" si="70"/>
        <v/>
      </c>
    </row>
    <row r="578" spans="2:29" x14ac:dyDescent="0.25">
      <c r="B578" s="54">
        <v>572</v>
      </c>
      <c r="C578" s="168"/>
      <c r="D578" s="51"/>
      <c r="E578" s="29"/>
      <c r="F578" s="48"/>
      <c r="G578" s="29"/>
      <c r="H578" s="187"/>
      <c r="I578" s="187"/>
      <c r="J578" s="195"/>
      <c r="K578" s="86" t="str">
        <f t="shared" si="64"/>
        <v/>
      </c>
      <c r="L578" s="57" t="str">
        <f t="shared" si="71"/>
        <v/>
      </c>
      <c r="M578" s="186"/>
      <c r="N578" s="189"/>
      <c r="O578" s="190"/>
      <c r="P578" s="190" t="str">
        <f>IF(OR(ISBLANK(V578),COUNTBLANK(V578:$V$1048576)=ROWS(V578:$V$1048576)),"",$R$2*(1+SUM(V$7:V578)))</f>
        <v/>
      </c>
      <c r="Q578" s="191"/>
      <c r="R578" s="189"/>
      <c r="S578" s="53" t="str">
        <f t="shared" si="65"/>
        <v/>
      </c>
      <c r="T578" s="63" t="str">
        <f t="shared" si="66"/>
        <v/>
      </c>
      <c r="U578" s="64" t="str">
        <f>IF(OR(ISBLANK(Trades!R578), ISBLANK(Trades!H578), ISBLANK(Trades!I578)), "", IF(Trades!H578=Trades!I578, "N/A", (Trades!R578-Trades!H578)/(Trades!H578-Trades!I578)))</f>
        <v/>
      </c>
      <c r="V578" s="65" t="str">
        <f t="shared" si="67"/>
        <v/>
      </c>
      <c r="W578" s="66" t="str">
        <f t="shared" si="68"/>
        <v/>
      </c>
      <c r="X578" s="62" t="str">
        <f t="shared" si="69"/>
        <v/>
      </c>
      <c r="Y578" s="45"/>
      <c r="Z578" s="44"/>
      <c r="AA578" s="41"/>
      <c r="AB578" s="39"/>
      <c r="AC578" s="37" t="str">
        <f t="shared" si="70"/>
        <v/>
      </c>
    </row>
    <row r="579" spans="2:29" x14ac:dyDescent="0.25">
      <c r="B579" s="54">
        <v>573</v>
      </c>
      <c r="C579" s="168"/>
      <c r="D579" s="51"/>
      <c r="E579" s="29"/>
      <c r="F579" s="48"/>
      <c r="G579" s="29"/>
      <c r="H579" s="187"/>
      <c r="I579" s="187"/>
      <c r="J579" s="195"/>
      <c r="K579" s="86" t="str">
        <f t="shared" si="64"/>
        <v/>
      </c>
      <c r="L579" s="57" t="str">
        <f t="shared" si="71"/>
        <v/>
      </c>
      <c r="M579" s="186"/>
      <c r="N579" s="189"/>
      <c r="O579" s="190"/>
      <c r="P579" s="190" t="str">
        <f>IF(OR(ISBLANK(V579),COUNTBLANK(V579:$V$1048576)=ROWS(V579:$V$1048576)),"",$R$2*(1+SUM(V$7:V579)))</f>
        <v/>
      </c>
      <c r="Q579" s="191"/>
      <c r="R579" s="189"/>
      <c r="S579" s="53" t="str">
        <f t="shared" si="65"/>
        <v/>
      </c>
      <c r="T579" s="63" t="str">
        <f t="shared" si="66"/>
        <v/>
      </c>
      <c r="U579" s="64" t="str">
        <f>IF(OR(ISBLANK(Trades!R579), ISBLANK(Trades!H579), ISBLANK(Trades!I579)), "", IF(Trades!H579=Trades!I579, "N/A", (Trades!R579-Trades!H579)/(Trades!H579-Trades!I579)))</f>
        <v/>
      </c>
      <c r="V579" s="65" t="str">
        <f t="shared" si="67"/>
        <v/>
      </c>
      <c r="W579" s="66" t="str">
        <f t="shared" si="68"/>
        <v/>
      </c>
      <c r="X579" s="62" t="str">
        <f t="shared" si="69"/>
        <v/>
      </c>
      <c r="Y579" s="45"/>
      <c r="Z579" s="44"/>
      <c r="AA579" s="41"/>
      <c r="AB579" s="39"/>
      <c r="AC579" s="37" t="str">
        <f t="shared" si="70"/>
        <v/>
      </c>
    </row>
    <row r="580" spans="2:29" x14ac:dyDescent="0.25">
      <c r="B580" s="54">
        <v>574</v>
      </c>
      <c r="C580" s="168"/>
      <c r="D580" s="51"/>
      <c r="E580" s="29"/>
      <c r="F580" s="48"/>
      <c r="G580" s="29"/>
      <c r="H580" s="187"/>
      <c r="I580" s="187"/>
      <c r="J580" s="195"/>
      <c r="K580" s="86" t="str">
        <f t="shared" si="64"/>
        <v/>
      </c>
      <c r="L580" s="57" t="str">
        <f t="shared" si="71"/>
        <v/>
      </c>
      <c r="M580" s="186"/>
      <c r="N580" s="189"/>
      <c r="O580" s="190"/>
      <c r="P580" s="190" t="str">
        <f>IF(OR(ISBLANK(V580),COUNTBLANK(V580:$V$1048576)=ROWS(V580:$V$1048576)),"",$R$2*(1+SUM(V$7:V580)))</f>
        <v/>
      </c>
      <c r="Q580" s="191"/>
      <c r="R580" s="189"/>
      <c r="S580" s="53" t="str">
        <f t="shared" si="65"/>
        <v/>
      </c>
      <c r="T580" s="63" t="str">
        <f t="shared" si="66"/>
        <v/>
      </c>
      <c r="U580" s="64" t="str">
        <f>IF(OR(ISBLANK(Trades!R580), ISBLANK(Trades!H580), ISBLANK(Trades!I580)), "", IF(Trades!H580=Trades!I580, "N/A", (Trades!R580-Trades!H580)/(Trades!H580-Trades!I580)))</f>
        <v/>
      </c>
      <c r="V580" s="65" t="str">
        <f t="shared" si="67"/>
        <v/>
      </c>
      <c r="W580" s="66" t="str">
        <f t="shared" si="68"/>
        <v/>
      </c>
      <c r="X580" s="62" t="str">
        <f t="shared" si="69"/>
        <v/>
      </c>
      <c r="Y580" s="45"/>
      <c r="Z580" s="44"/>
      <c r="AA580" s="41"/>
      <c r="AB580" s="39"/>
      <c r="AC580" s="37" t="str">
        <f t="shared" si="70"/>
        <v/>
      </c>
    </row>
    <row r="581" spans="2:29" x14ac:dyDescent="0.25">
      <c r="B581" s="54">
        <v>575</v>
      </c>
      <c r="C581" s="168"/>
      <c r="D581" s="51"/>
      <c r="E581" s="29"/>
      <c r="F581" s="48"/>
      <c r="G581" s="29"/>
      <c r="H581" s="187"/>
      <c r="I581" s="187"/>
      <c r="J581" s="195"/>
      <c r="K581" s="86" t="str">
        <f t="shared" si="64"/>
        <v/>
      </c>
      <c r="L581" s="57" t="str">
        <f t="shared" si="71"/>
        <v/>
      </c>
      <c r="M581" s="186"/>
      <c r="N581" s="189"/>
      <c r="O581" s="190"/>
      <c r="P581" s="190" t="str">
        <f>IF(OR(ISBLANK(V581),COUNTBLANK(V581:$V$1048576)=ROWS(V581:$V$1048576)),"",$R$2*(1+SUM(V$7:V581)))</f>
        <v/>
      </c>
      <c r="Q581" s="191"/>
      <c r="R581" s="189"/>
      <c r="S581" s="53" t="str">
        <f t="shared" si="65"/>
        <v/>
      </c>
      <c r="T581" s="63" t="str">
        <f t="shared" si="66"/>
        <v/>
      </c>
      <c r="U581" s="64" t="str">
        <f>IF(OR(ISBLANK(Trades!R581), ISBLANK(Trades!H581), ISBLANK(Trades!I581)), "", IF(Trades!H581=Trades!I581, "N/A", (Trades!R581-Trades!H581)/(Trades!H581-Trades!I581)))</f>
        <v/>
      </c>
      <c r="V581" s="65" t="str">
        <f t="shared" si="67"/>
        <v/>
      </c>
      <c r="W581" s="66" t="str">
        <f t="shared" si="68"/>
        <v/>
      </c>
      <c r="X581" s="62" t="str">
        <f t="shared" si="69"/>
        <v/>
      </c>
      <c r="Y581" s="45"/>
      <c r="Z581" s="44"/>
      <c r="AA581" s="41"/>
      <c r="AB581" s="39"/>
      <c r="AC581" s="37" t="str">
        <f t="shared" si="70"/>
        <v/>
      </c>
    </row>
    <row r="582" spans="2:29" x14ac:dyDescent="0.25">
      <c r="B582" s="54">
        <v>576</v>
      </c>
      <c r="C582" s="168"/>
      <c r="D582" s="51"/>
      <c r="E582" s="29"/>
      <c r="F582" s="48"/>
      <c r="G582" s="29"/>
      <c r="H582" s="187"/>
      <c r="I582" s="187"/>
      <c r="J582" s="195"/>
      <c r="K582" s="86" t="str">
        <f t="shared" si="64"/>
        <v/>
      </c>
      <c r="L582" s="57" t="str">
        <f t="shared" si="71"/>
        <v/>
      </c>
      <c r="M582" s="186"/>
      <c r="N582" s="189"/>
      <c r="O582" s="190"/>
      <c r="P582" s="190" t="str">
        <f>IF(OR(ISBLANK(V582),COUNTBLANK(V582:$V$1048576)=ROWS(V582:$V$1048576)),"",$R$2*(1+SUM(V$7:V582)))</f>
        <v/>
      </c>
      <c r="Q582" s="191"/>
      <c r="R582" s="189"/>
      <c r="S582" s="53" t="str">
        <f t="shared" si="65"/>
        <v/>
      </c>
      <c r="T582" s="63" t="str">
        <f t="shared" si="66"/>
        <v/>
      </c>
      <c r="U582" s="64" t="str">
        <f>IF(OR(ISBLANK(Trades!R582), ISBLANK(Trades!H582), ISBLANK(Trades!I582)), "", IF(Trades!H582=Trades!I582, "N/A", (Trades!R582-Trades!H582)/(Trades!H582-Trades!I582)))</f>
        <v/>
      </c>
      <c r="V582" s="65" t="str">
        <f t="shared" si="67"/>
        <v/>
      </c>
      <c r="W582" s="66" t="str">
        <f t="shared" si="68"/>
        <v/>
      </c>
      <c r="X582" s="62" t="str">
        <f t="shared" si="69"/>
        <v/>
      </c>
      <c r="Y582" s="45"/>
      <c r="Z582" s="44"/>
      <c r="AA582" s="41"/>
      <c r="AB582" s="39"/>
      <c r="AC582" s="37" t="str">
        <f t="shared" si="70"/>
        <v/>
      </c>
    </row>
    <row r="583" spans="2:29" x14ac:dyDescent="0.25">
      <c r="B583" s="54">
        <v>577</v>
      </c>
      <c r="C583" s="168"/>
      <c r="D583" s="51"/>
      <c r="E583" s="29"/>
      <c r="F583" s="48"/>
      <c r="G583" s="29"/>
      <c r="H583" s="187"/>
      <c r="I583" s="187"/>
      <c r="J583" s="195"/>
      <c r="K583" s="86" t="str">
        <f t="shared" ref="K583:K646" si="72">IF(OR(ISBLANK(H583),ISBLANK(I583)),"",IF(H583 &lt; I583, "SHORT", IF(H583 &gt; I583, "LONG", "")))</f>
        <v/>
      </c>
      <c r="L583" s="57" t="str">
        <f t="shared" si="71"/>
        <v/>
      </c>
      <c r="M583" s="186"/>
      <c r="N583" s="189"/>
      <c r="O583" s="190"/>
      <c r="P583" s="190" t="str">
        <f>IF(OR(ISBLANK(V583),COUNTBLANK(V583:$V$1048576)=ROWS(V583:$V$1048576)),"",$R$2*(1+SUM(V$7:V583)))</f>
        <v/>
      </c>
      <c r="Q583" s="191"/>
      <c r="R583" s="189"/>
      <c r="S583" s="53" t="str">
        <f t="shared" ref="S583:S646" si="73">IF(COUNTIFS($C$7:$C$1000, "&lt;="&amp;C583, $X$7:$X$1000, "Win") = 0, "", IF(COUNTIFS($C$7:$C$1000, "&lt;="&amp;C583, $X$7:$X$1000, "&lt;&gt;"&amp;"") = 0, "", COUNTIFS($C$7:$C$1000, "&lt;="&amp;C583, $X$7:$X$1000, "Win")/COUNTIFS($C$7:$C$1000, "&lt;="&amp;C583, $X$7:$X$1000, "&lt;&gt;"&amp;"")))</f>
        <v/>
      </c>
      <c r="T583" s="63" t="str">
        <f t="shared" ref="T583:T646" si="74">IF(ISBLANK(R583),IF(ISBLANK(H583),"","Open"),"Closed")</f>
        <v/>
      </c>
      <c r="U583" s="64" t="str">
        <f>IF(OR(ISBLANK(Trades!R583), ISBLANK(Trades!H583), ISBLANK(Trades!I583)), "", IF(Trades!H583=Trades!I583, "N/A", (Trades!R583-Trades!H583)/(Trades!H583-Trades!I583)))</f>
        <v/>
      </c>
      <c r="V583" s="65" t="str">
        <f t="shared" ref="V583:V646" si="75">IF(U583="","",U583*F583)</f>
        <v/>
      </c>
      <c r="W583" s="66" t="str">
        <f t="shared" ref="W583:W646" si="76">IF(ISBLANK(R583),"",IF(H583&gt;I583,IF(I583&gt;=R583,"SL Hit",IF(O583&lt;&gt;"","PT3 Hit",IF(N583&lt;&gt;"","PT2 Hit",IF(M583&lt;&gt;"","PT1 Hit","")))),IF(I583&lt;=R583,"SL Hit",IF(O583&lt;&gt;"","PT3 Hit",IF(N583&lt;&gt;"","PT2 Hit",IF(M583&lt;&gt;"","PT1 Hit",""))))))</f>
        <v/>
      </c>
      <c r="X583" s="62" t="str">
        <f t="shared" ref="X583:X646" si="77">IF(ISBLANK(R583),"",IF(H583&gt;I583, IF(R583&gt;=H583, "Win", "Loss"), IF(R583&lt;=H583, "Win", "Loss")))</f>
        <v/>
      </c>
      <c r="Y583" s="45"/>
      <c r="Z583" s="44"/>
      <c r="AA583" s="41"/>
      <c r="AB583" s="39"/>
      <c r="AC583" s="37" t="str">
        <f t="shared" ref="AC583:AC646" si="78">IFERROR(COUNTIFS($C$7:$C$1000,"&gt;="&amp;DATE(YEAR(C583),MONTH(C583),1),$C$7:$C$1000,"&lt;="&amp;EOMONTH(C583,0),$X$7:$X$1000,"Win")/COUNTIFS($C$7:$C$1000,"&gt;="&amp;DATE(YEAR(C583),MONTH(C583),1),$C$7:$C$1000,"&lt;="&amp;EOMONTH(C583,0)),"")</f>
        <v/>
      </c>
    </row>
    <row r="584" spans="2:29" x14ac:dyDescent="0.25">
      <c r="B584" s="54">
        <v>578</v>
      </c>
      <c r="C584" s="168"/>
      <c r="D584" s="51"/>
      <c r="E584" s="29"/>
      <c r="F584" s="48"/>
      <c r="G584" s="29"/>
      <c r="H584" s="187"/>
      <c r="I584" s="187"/>
      <c r="J584" s="195"/>
      <c r="K584" s="86" t="str">
        <f t="shared" si="72"/>
        <v/>
      </c>
      <c r="L584" s="57" t="str">
        <f t="shared" si="71"/>
        <v/>
      </c>
      <c r="M584" s="186"/>
      <c r="N584" s="189"/>
      <c r="O584" s="190"/>
      <c r="P584" s="190" t="str">
        <f>IF(OR(ISBLANK(V584),COUNTBLANK(V584:$V$1048576)=ROWS(V584:$V$1048576)),"",$R$2*(1+SUM(V$7:V584)))</f>
        <v/>
      </c>
      <c r="Q584" s="191"/>
      <c r="R584" s="189"/>
      <c r="S584" s="53" t="str">
        <f t="shared" si="73"/>
        <v/>
      </c>
      <c r="T584" s="63" t="str">
        <f t="shared" si="74"/>
        <v/>
      </c>
      <c r="U584" s="64" t="str">
        <f>IF(OR(ISBLANK(Trades!R584), ISBLANK(Trades!H584), ISBLANK(Trades!I584)), "", IF(Trades!H584=Trades!I584, "N/A", (Trades!R584-Trades!H584)/(Trades!H584-Trades!I584)))</f>
        <v/>
      </c>
      <c r="V584" s="65" t="str">
        <f t="shared" si="75"/>
        <v/>
      </c>
      <c r="W584" s="66" t="str">
        <f t="shared" si="76"/>
        <v/>
      </c>
      <c r="X584" s="62" t="str">
        <f t="shared" si="77"/>
        <v/>
      </c>
      <c r="Y584" s="45"/>
      <c r="Z584" s="44"/>
      <c r="AA584" s="41"/>
      <c r="AB584" s="39"/>
      <c r="AC584" s="37" t="str">
        <f t="shared" si="78"/>
        <v/>
      </c>
    </row>
    <row r="585" spans="2:29" x14ac:dyDescent="0.25">
      <c r="B585" s="54">
        <v>579</v>
      </c>
      <c r="C585" s="168"/>
      <c r="D585" s="51"/>
      <c r="E585" s="29"/>
      <c r="F585" s="48"/>
      <c r="G585" s="29"/>
      <c r="H585" s="187"/>
      <c r="I585" s="187"/>
      <c r="J585" s="195"/>
      <c r="K585" s="86" t="str">
        <f t="shared" si="72"/>
        <v/>
      </c>
      <c r="L585" s="57" t="str">
        <f t="shared" si="71"/>
        <v/>
      </c>
      <c r="M585" s="186"/>
      <c r="N585" s="189"/>
      <c r="O585" s="190"/>
      <c r="P585" s="190" t="str">
        <f>IF(OR(ISBLANK(V585),COUNTBLANK(V585:$V$1048576)=ROWS(V585:$V$1048576)),"",$R$2*(1+SUM(V$7:V585)))</f>
        <v/>
      </c>
      <c r="Q585" s="191"/>
      <c r="R585" s="189"/>
      <c r="S585" s="53" t="str">
        <f t="shared" si="73"/>
        <v/>
      </c>
      <c r="T585" s="63" t="str">
        <f t="shared" si="74"/>
        <v/>
      </c>
      <c r="U585" s="64" t="str">
        <f>IF(OR(ISBLANK(Trades!R585), ISBLANK(Trades!H585), ISBLANK(Trades!I585)), "", IF(Trades!H585=Trades!I585, "N/A", (Trades!R585-Trades!H585)/(Trades!H585-Trades!I585)))</f>
        <v/>
      </c>
      <c r="V585" s="65" t="str">
        <f t="shared" si="75"/>
        <v/>
      </c>
      <c r="W585" s="66" t="str">
        <f t="shared" si="76"/>
        <v/>
      </c>
      <c r="X585" s="62" t="str">
        <f t="shared" si="77"/>
        <v/>
      </c>
      <c r="Y585" s="45"/>
      <c r="Z585" s="44"/>
      <c r="AA585" s="41"/>
      <c r="AB585" s="39"/>
      <c r="AC585" s="37" t="str">
        <f t="shared" si="78"/>
        <v/>
      </c>
    </row>
    <row r="586" spans="2:29" x14ac:dyDescent="0.25">
      <c r="B586" s="54">
        <v>580</v>
      </c>
      <c r="C586" s="168"/>
      <c r="D586" s="51"/>
      <c r="E586" s="29"/>
      <c r="F586" s="48"/>
      <c r="G586" s="29"/>
      <c r="H586" s="187"/>
      <c r="I586" s="187"/>
      <c r="J586" s="195"/>
      <c r="K586" s="86" t="str">
        <f t="shared" si="72"/>
        <v/>
      </c>
      <c r="L586" s="57" t="str">
        <f t="shared" si="71"/>
        <v/>
      </c>
      <c r="M586" s="186"/>
      <c r="N586" s="189"/>
      <c r="O586" s="190"/>
      <c r="P586" s="190" t="str">
        <f>IF(OR(ISBLANK(V586),COUNTBLANK(V586:$V$1048576)=ROWS(V586:$V$1048576)),"",$R$2*(1+SUM(V$7:V586)))</f>
        <v/>
      </c>
      <c r="Q586" s="191"/>
      <c r="R586" s="189"/>
      <c r="S586" s="53" t="str">
        <f t="shared" si="73"/>
        <v/>
      </c>
      <c r="T586" s="63" t="str">
        <f t="shared" si="74"/>
        <v/>
      </c>
      <c r="U586" s="64" t="str">
        <f>IF(OR(ISBLANK(Trades!R586), ISBLANK(Trades!H586), ISBLANK(Trades!I586)), "", IF(Trades!H586=Trades!I586, "N/A", (Trades!R586-Trades!H586)/(Trades!H586-Trades!I586)))</f>
        <v/>
      </c>
      <c r="V586" s="65" t="str">
        <f t="shared" si="75"/>
        <v/>
      </c>
      <c r="W586" s="66" t="str">
        <f t="shared" si="76"/>
        <v/>
      </c>
      <c r="X586" s="62" t="str">
        <f t="shared" si="77"/>
        <v/>
      </c>
      <c r="Y586" s="45"/>
      <c r="Z586" s="44"/>
      <c r="AA586" s="41"/>
      <c r="AB586" s="39"/>
      <c r="AC586" s="37" t="str">
        <f t="shared" si="78"/>
        <v/>
      </c>
    </row>
    <row r="587" spans="2:29" x14ac:dyDescent="0.25">
      <c r="B587" s="54">
        <v>581</v>
      </c>
      <c r="C587" s="168"/>
      <c r="D587" s="51"/>
      <c r="E587" s="29"/>
      <c r="F587" s="48"/>
      <c r="G587" s="29"/>
      <c r="H587" s="187"/>
      <c r="I587" s="187"/>
      <c r="J587" s="195"/>
      <c r="K587" s="86" t="str">
        <f t="shared" si="72"/>
        <v/>
      </c>
      <c r="L587" s="57" t="str">
        <f t="shared" si="71"/>
        <v/>
      </c>
      <c r="M587" s="186"/>
      <c r="N587" s="189"/>
      <c r="O587" s="190"/>
      <c r="P587" s="190" t="str">
        <f>IF(OR(ISBLANK(V587),COUNTBLANK(V587:$V$1048576)=ROWS(V587:$V$1048576)),"",$R$2*(1+SUM(V$7:V587)))</f>
        <v/>
      </c>
      <c r="Q587" s="191"/>
      <c r="R587" s="189"/>
      <c r="S587" s="53" t="str">
        <f t="shared" si="73"/>
        <v/>
      </c>
      <c r="T587" s="63" t="str">
        <f t="shared" si="74"/>
        <v/>
      </c>
      <c r="U587" s="64" t="str">
        <f>IF(OR(ISBLANK(Trades!R587), ISBLANK(Trades!H587), ISBLANK(Trades!I587)), "", IF(Trades!H587=Trades!I587, "N/A", (Trades!R587-Trades!H587)/(Trades!H587-Trades!I587)))</f>
        <v/>
      </c>
      <c r="V587" s="65" t="str">
        <f t="shared" si="75"/>
        <v/>
      </c>
      <c r="W587" s="66" t="str">
        <f t="shared" si="76"/>
        <v/>
      </c>
      <c r="X587" s="62" t="str">
        <f t="shared" si="77"/>
        <v/>
      </c>
      <c r="Y587" s="45"/>
      <c r="Z587" s="44"/>
      <c r="AA587" s="41"/>
      <c r="AB587" s="39"/>
      <c r="AC587" s="37" t="str">
        <f t="shared" si="78"/>
        <v/>
      </c>
    </row>
    <row r="588" spans="2:29" x14ac:dyDescent="0.25">
      <c r="B588" s="54">
        <v>582</v>
      </c>
      <c r="C588" s="168"/>
      <c r="D588" s="51"/>
      <c r="E588" s="29"/>
      <c r="F588" s="48"/>
      <c r="G588" s="29"/>
      <c r="H588" s="187"/>
      <c r="I588" s="187"/>
      <c r="J588" s="195"/>
      <c r="K588" s="86" t="str">
        <f t="shared" si="72"/>
        <v/>
      </c>
      <c r="L588" s="57" t="str">
        <f t="shared" ref="L588:L651" si="79">IF(OR(ISBLANK(J588),ISBLANK(H588),ISBLANK(I588)),"",ABS(J588-H588)/ABS(H588-I588))</f>
        <v/>
      </c>
      <c r="M588" s="186"/>
      <c r="N588" s="189"/>
      <c r="O588" s="190"/>
      <c r="P588" s="190" t="str">
        <f>IF(OR(ISBLANK(V588),COUNTBLANK(V588:$V$1048576)=ROWS(V588:$V$1048576)),"",$R$2*(1+SUM(V$7:V588)))</f>
        <v/>
      </c>
      <c r="Q588" s="191"/>
      <c r="R588" s="189"/>
      <c r="S588" s="53" t="str">
        <f t="shared" si="73"/>
        <v/>
      </c>
      <c r="T588" s="63" t="str">
        <f t="shared" si="74"/>
        <v/>
      </c>
      <c r="U588" s="64" t="str">
        <f>IF(OR(ISBLANK(Trades!R588), ISBLANK(Trades!H588), ISBLANK(Trades!I588)), "", IF(Trades!H588=Trades!I588, "N/A", (Trades!R588-Trades!H588)/(Trades!H588-Trades!I588)))</f>
        <v/>
      </c>
      <c r="V588" s="65" t="str">
        <f t="shared" si="75"/>
        <v/>
      </c>
      <c r="W588" s="66" t="str">
        <f t="shared" si="76"/>
        <v/>
      </c>
      <c r="X588" s="62" t="str">
        <f t="shared" si="77"/>
        <v/>
      </c>
      <c r="Y588" s="45"/>
      <c r="Z588" s="44"/>
      <c r="AA588" s="41"/>
      <c r="AB588" s="39"/>
      <c r="AC588" s="37" t="str">
        <f t="shared" si="78"/>
        <v/>
      </c>
    </row>
    <row r="589" spans="2:29" x14ac:dyDescent="0.25">
      <c r="B589" s="54">
        <v>583</v>
      </c>
      <c r="C589" s="168"/>
      <c r="D589" s="51"/>
      <c r="E589" s="29"/>
      <c r="F589" s="48"/>
      <c r="G589" s="29"/>
      <c r="H589" s="187"/>
      <c r="I589" s="187"/>
      <c r="J589" s="195"/>
      <c r="K589" s="86" t="str">
        <f t="shared" si="72"/>
        <v/>
      </c>
      <c r="L589" s="57" t="str">
        <f t="shared" si="79"/>
        <v/>
      </c>
      <c r="M589" s="186"/>
      <c r="N589" s="189"/>
      <c r="O589" s="190"/>
      <c r="P589" s="190" t="str">
        <f>IF(OR(ISBLANK(V589),COUNTBLANK(V589:$V$1048576)=ROWS(V589:$V$1048576)),"",$R$2*(1+SUM(V$7:V589)))</f>
        <v/>
      </c>
      <c r="Q589" s="191"/>
      <c r="R589" s="189"/>
      <c r="S589" s="53" t="str">
        <f t="shared" si="73"/>
        <v/>
      </c>
      <c r="T589" s="63" t="str">
        <f t="shared" si="74"/>
        <v/>
      </c>
      <c r="U589" s="64" t="str">
        <f>IF(OR(ISBLANK(Trades!R589), ISBLANK(Trades!H589), ISBLANK(Trades!I589)), "", IF(Trades!H589=Trades!I589, "N/A", (Trades!R589-Trades!H589)/(Trades!H589-Trades!I589)))</f>
        <v/>
      </c>
      <c r="V589" s="65" t="str">
        <f t="shared" si="75"/>
        <v/>
      </c>
      <c r="W589" s="66" t="str">
        <f t="shared" si="76"/>
        <v/>
      </c>
      <c r="X589" s="62" t="str">
        <f t="shared" si="77"/>
        <v/>
      </c>
      <c r="Y589" s="45"/>
      <c r="Z589" s="44"/>
      <c r="AA589" s="41"/>
      <c r="AB589" s="39"/>
      <c r="AC589" s="37" t="str">
        <f t="shared" si="78"/>
        <v/>
      </c>
    </row>
    <row r="590" spans="2:29" x14ac:dyDescent="0.25">
      <c r="B590" s="54">
        <v>584</v>
      </c>
      <c r="C590" s="168"/>
      <c r="D590" s="51"/>
      <c r="E590" s="29"/>
      <c r="F590" s="48"/>
      <c r="G590" s="29"/>
      <c r="H590" s="187"/>
      <c r="I590" s="187"/>
      <c r="J590" s="195"/>
      <c r="K590" s="86" t="str">
        <f t="shared" si="72"/>
        <v/>
      </c>
      <c r="L590" s="57" t="str">
        <f t="shared" si="79"/>
        <v/>
      </c>
      <c r="M590" s="186"/>
      <c r="N590" s="189"/>
      <c r="O590" s="190"/>
      <c r="P590" s="190" t="str">
        <f>IF(OR(ISBLANK(V590),COUNTBLANK(V590:$V$1048576)=ROWS(V590:$V$1048576)),"",$R$2*(1+SUM(V$7:V590)))</f>
        <v/>
      </c>
      <c r="Q590" s="191"/>
      <c r="R590" s="189"/>
      <c r="S590" s="53" t="str">
        <f t="shared" si="73"/>
        <v/>
      </c>
      <c r="T590" s="63" t="str">
        <f t="shared" si="74"/>
        <v/>
      </c>
      <c r="U590" s="64" t="str">
        <f>IF(OR(ISBLANK(Trades!R590), ISBLANK(Trades!H590), ISBLANK(Trades!I590)), "", IF(Trades!H590=Trades!I590, "N/A", (Trades!R590-Trades!H590)/(Trades!H590-Trades!I590)))</f>
        <v/>
      </c>
      <c r="V590" s="65" t="str">
        <f t="shared" si="75"/>
        <v/>
      </c>
      <c r="W590" s="66" t="str">
        <f t="shared" si="76"/>
        <v/>
      </c>
      <c r="X590" s="62" t="str">
        <f t="shared" si="77"/>
        <v/>
      </c>
      <c r="Y590" s="45"/>
      <c r="Z590" s="44"/>
      <c r="AA590" s="41"/>
      <c r="AB590" s="39"/>
      <c r="AC590" s="37" t="str">
        <f t="shared" si="78"/>
        <v/>
      </c>
    </row>
    <row r="591" spans="2:29" x14ac:dyDescent="0.25">
      <c r="B591" s="54">
        <v>585</v>
      </c>
      <c r="C591" s="168"/>
      <c r="D591" s="51"/>
      <c r="E591" s="29"/>
      <c r="F591" s="48"/>
      <c r="G591" s="29"/>
      <c r="H591" s="187"/>
      <c r="I591" s="187"/>
      <c r="J591" s="195"/>
      <c r="K591" s="86" t="str">
        <f t="shared" si="72"/>
        <v/>
      </c>
      <c r="L591" s="57" t="str">
        <f t="shared" si="79"/>
        <v/>
      </c>
      <c r="M591" s="186"/>
      <c r="N591" s="189"/>
      <c r="O591" s="190"/>
      <c r="P591" s="190" t="str">
        <f>IF(OR(ISBLANK(V591),COUNTBLANK(V591:$V$1048576)=ROWS(V591:$V$1048576)),"",$R$2*(1+SUM(V$7:V591)))</f>
        <v/>
      </c>
      <c r="Q591" s="191"/>
      <c r="R591" s="189"/>
      <c r="S591" s="53" t="str">
        <f t="shared" si="73"/>
        <v/>
      </c>
      <c r="T591" s="63" t="str">
        <f t="shared" si="74"/>
        <v/>
      </c>
      <c r="U591" s="64" t="str">
        <f>IF(OR(ISBLANK(Trades!R591), ISBLANK(Trades!H591), ISBLANK(Trades!I591)), "", IF(Trades!H591=Trades!I591, "N/A", (Trades!R591-Trades!H591)/(Trades!H591-Trades!I591)))</f>
        <v/>
      </c>
      <c r="V591" s="65" t="str">
        <f t="shared" si="75"/>
        <v/>
      </c>
      <c r="W591" s="66" t="str">
        <f t="shared" si="76"/>
        <v/>
      </c>
      <c r="X591" s="62" t="str">
        <f t="shared" si="77"/>
        <v/>
      </c>
      <c r="Y591" s="45"/>
      <c r="Z591" s="44"/>
      <c r="AA591" s="41"/>
      <c r="AB591" s="39"/>
      <c r="AC591" s="37" t="str">
        <f t="shared" si="78"/>
        <v/>
      </c>
    </row>
    <row r="592" spans="2:29" x14ac:dyDescent="0.25">
      <c r="B592" s="54">
        <v>586</v>
      </c>
      <c r="C592" s="168"/>
      <c r="D592" s="51"/>
      <c r="E592" s="29"/>
      <c r="F592" s="48"/>
      <c r="G592" s="29"/>
      <c r="H592" s="187"/>
      <c r="I592" s="187"/>
      <c r="J592" s="195"/>
      <c r="K592" s="86" t="str">
        <f t="shared" si="72"/>
        <v/>
      </c>
      <c r="L592" s="57" t="str">
        <f t="shared" si="79"/>
        <v/>
      </c>
      <c r="M592" s="186"/>
      <c r="N592" s="189"/>
      <c r="O592" s="190"/>
      <c r="P592" s="190" t="str">
        <f>IF(OR(ISBLANK(V592),COUNTBLANK(V592:$V$1048576)=ROWS(V592:$V$1048576)),"",$R$2*(1+SUM(V$7:V592)))</f>
        <v/>
      </c>
      <c r="Q592" s="191"/>
      <c r="R592" s="189"/>
      <c r="S592" s="53" t="str">
        <f t="shared" si="73"/>
        <v/>
      </c>
      <c r="T592" s="63" t="str">
        <f t="shared" si="74"/>
        <v/>
      </c>
      <c r="U592" s="64" t="str">
        <f>IF(OR(ISBLANK(Trades!R592), ISBLANK(Trades!H592), ISBLANK(Trades!I592)), "", IF(Trades!H592=Trades!I592, "N/A", (Trades!R592-Trades!H592)/(Trades!H592-Trades!I592)))</f>
        <v/>
      </c>
      <c r="V592" s="65" t="str">
        <f t="shared" si="75"/>
        <v/>
      </c>
      <c r="W592" s="66" t="str">
        <f t="shared" si="76"/>
        <v/>
      </c>
      <c r="X592" s="62" t="str">
        <f t="shared" si="77"/>
        <v/>
      </c>
      <c r="Y592" s="45"/>
      <c r="Z592" s="44"/>
      <c r="AA592" s="41"/>
      <c r="AB592" s="39"/>
      <c r="AC592" s="37" t="str">
        <f t="shared" si="78"/>
        <v/>
      </c>
    </row>
    <row r="593" spans="2:29" x14ac:dyDescent="0.25">
      <c r="B593" s="54">
        <v>587</v>
      </c>
      <c r="C593" s="168"/>
      <c r="D593" s="51"/>
      <c r="E593" s="29"/>
      <c r="F593" s="48"/>
      <c r="G593" s="29"/>
      <c r="H593" s="187"/>
      <c r="I593" s="187"/>
      <c r="J593" s="195"/>
      <c r="K593" s="86" t="str">
        <f t="shared" si="72"/>
        <v/>
      </c>
      <c r="L593" s="57" t="str">
        <f t="shared" si="79"/>
        <v/>
      </c>
      <c r="M593" s="186"/>
      <c r="N593" s="189"/>
      <c r="O593" s="190"/>
      <c r="P593" s="190" t="str">
        <f>IF(OR(ISBLANK(V593),COUNTBLANK(V593:$V$1048576)=ROWS(V593:$V$1048576)),"",$R$2*(1+SUM(V$7:V593)))</f>
        <v/>
      </c>
      <c r="Q593" s="191"/>
      <c r="R593" s="189"/>
      <c r="S593" s="53" t="str">
        <f t="shared" si="73"/>
        <v/>
      </c>
      <c r="T593" s="63" t="str">
        <f t="shared" si="74"/>
        <v/>
      </c>
      <c r="U593" s="64" t="str">
        <f>IF(OR(ISBLANK(Trades!R593), ISBLANK(Trades!H593), ISBLANK(Trades!I593)), "", IF(Trades!H593=Trades!I593, "N/A", (Trades!R593-Trades!H593)/(Trades!H593-Trades!I593)))</f>
        <v/>
      </c>
      <c r="V593" s="65" t="str">
        <f t="shared" si="75"/>
        <v/>
      </c>
      <c r="W593" s="66" t="str">
        <f t="shared" si="76"/>
        <v/>
      </c>
      <c r="X593" s="62" t="str">
        <f t="shared" si="77"/>
        <v/>
      </c>
      <c r="Y593" s="45"/>
      <c r="Z593" s="44"/>
      <c r="AA593" s="41"/>
      <c r="AB593" s="39"/>
      <c r="AC593" s="37" t="str">
        <f t="shared" si="78"/>
        <v/>
      </c>
    </row>
    <row r="594" spans="2:29" x14ac:dyDescent="0.25">
      <c r="B594" s="54">
        <v>588</v>
      </c>
      <c r="C594" s="168"/>
      <c r="D594" s="51"/>
      <c r="E594" s="29"/>
      <c r="F594" s="48"/>
      <c r="G594" s="29"/>
      <c r="H594" s="187"/>
      <c r="I594" s="187"/>
      <c r="J594" s="195"/>
      <c r="K594" s="86" t="str">
        <f t="shared" si="72"/>
        <v/>
      </c>
      <c r="L594" s="57" t="str">
        <f t="shared" si="79"/>
        <v/>
      </c>
      <c r="M594" s="186"/>
      <c r="N594" s="189"/>
      <c r="O594" s="190"/>
      <c r="P594" s="190" t="str">
        <f>IF(OR(ISBLANK(V594),COUNTBLANK(V594:$V$1048576)=ROWS(V594:$V$1048576)),"",$R$2*(1+SUM(V$7:V594)))</f>
        <v/>
      </c>
      <c r="Q594" s="191"/>
      <c r="R594" s="189"/>
      <c r="S594" s="53" t="str">
        <f t="shared" si="73"/>
        <v/>
      </c>
      <c r="T594" s="63" t="str">
        <f t="shared" si="74"/>
        <v/>
      </c>
      <c r="U594" s="64" t="str">
        <f>IF(OR(ISBLANK(Trades!R594), ISBLANK(Trades!H594), ISBLANK(Trades!I594)), "", IF(Trades!H594=Trades!I594, "N/A", (Trades!R594-Trades!H594)/(Trades!H594-Trades!I594)))</f>
        <v/>
      </c>
      <c r="V594" s="65" t="str">
        <f t="shared" si="75"/>
        <v/>
      </c>
      <c r="W594" s="66" t="str">
        <f t="shared" si="76"/>
        <v/>
      </c>
      <c r="X594" s="62" t="str">
        <f t="shared" si="77"/>
        <v/>
      </c>
      <c r="Y594" s="45"/>
      <c r="Z594" s="44"/>
      <c r="AA594" s="41"/>
      <c r="AB594" s="39"/>
      <c r="AC594" s="37" t="str">
        <f t="shared" si="78"/>
        <v/>
      </c>
    </row>
    <row r="595" spans="2:29" x14ac:dyDescent="0.25">
      <c r="B595" s="54">
        <v>589</v>
      </c>
      <c r="C595" s="168"/>
      <c r="D595" s="51"/>
      <c r="E595" s="29"/>
      <c r="F595" s="48"/>
      <c r="G595" s="29"/>
      <c r="H595" s="187"/>
      <c r="I595" s="187"/>
      <c r="J595" s="195"/>
      <c r="K595" s="86" t="str">
        <f t="shared" si="72"/>
        <v/>
      </c>
      <c r="L595" s="57" t="str">
        <f t="shared" si="79"/>
        <v/>
      </c>
      <c r="M595" s="186"/>
      <c r="N595" s="189"/>
      <c r="O595" s="190"/>
      <c r="P595" s="190" t="str">
        <f>IF(OR(ISBLANK(V595),COUNTBLANK(V595:$V$1048576)=ROWS(V595:$V$1048576)),"",$R$2*(1+SUM(V$7:V595)))</f>
        <v/>
      </c>
      <c r="Q595" s="191"/>
      <c r="R595" s="189"/>
      <c r="S595" s="53" t="str">
        <f t="shared" si="73"/>
        <v/>
      </c>
      <c r="T595" s="63" t="str">
        <f t="shared" si="74"/>
        <v/>
      </c>
      <c r="U595" s="64" t="str">
        <f>IF(OR(ISBLANK(Trades!R595), ISBLANK(Trades!H595), ISBLANK(Trades!I595)), "", IF(Trades!H595=Trades!I595, "N/A", (Trades!R595-Trades!H595)/(Trades!H595-Trades!I595)))</f>
        <v/>
      </c>
      <c r="V595" s="65" t="str">
        <f t="shared" si="75"/>
        <v/>
      </c>
      <c r="W595" s="66" t="str">
        <f t="shared" si="76"/>
        <v/>
      </c>
      <c r="X595" s="62" t="str">
        <f t="shared" si="77"/>
        <v/>
      </c>
      <c r="Y595" s="45"/>
      <c r="Z595" s="44"/>
      <c r="AA595" s="41"/>
      <c r="AB595" s="39"/>
      <c r="AC595" s="37" t="str">
        <f t="shared" si="78"/>
        <v/>
      </c>
    </row>
    <row r="596" spans="2:29" x14ac:dyDescent="0.25">
      <c r="B596" s="54">
        <v>590</v>
      </c>
      <c r="C596" s="168"/>
      <c r="D596" s="51"/>
      <c r="E596" s="29"/>
      <c r="F596" s="48"/>
      <c r="G596" s="29"/>
      <c r="H596" s="187"/>
      <c r="I596" s="187"/>
      <c r="J596" s="195"/>
      <c r="K596" s="86" t="str">
        <f t="shared" si="72"/>
        <v/>
      </c>
      <c r="L596" s="57" t="str">
        <f t="shared" si="79"/>
        <v/>
      </c>
      <c r="M596" s="186"/>
      <c r="N596" s="189"/>
      <c r="O596" s="190"/>
      <c r="P596" s="190" t="str">
        <f>IF(OR(ISBLANK(V596),COUNTBLANK(V596:$V$1048576)=ROWS(V596:$V$1048576)),"",$R$2*(1+SUM(V$7:V596)))</f>
        <v/>
      </c>
      <c r="Q596" s="191"/>
      <c r="R596" s="189"/>
      <c r="S596" s="53" t="str">
        <f t="shared" si="73"/>
        <v/>
      </c>
      <c r="T596" s="63" t="str">
        <f t="shared" si="74"/>
        <v/>
      </c>
      <c r="U596" s="64" t="str">
        <f>IF(OR(ISBLANK(Trades!R596), ISBLANK(Trades!H596), ISBLANK(Trades!I596)), "", IF(Trades!H596=Trades!I596, "N/A", (Trades!R596-Trades!H596)/(Trades!H596-Trades!I596)))</f>
        <v/>
      </c>
      <c r="V596" s="65" t="str">
        <f t="shared" si="75"/>
        <v/>
      </c>
      <c r="W596" s="66" t="str">
        <f t="shared" si="76"/>
        <v/>
      </c>
      <c r="X596" s="62" t="str">
        <f t="shared" si="77"/>
        <v/>
      </c>
      <c r="Y596" s="45"/>
      <c r="Z596" s="44"/>
      <c r="AA596" s="41"/>
      <c r="AB596" s="39"/>
      <c r="AC596" s="37" t="str">
        <f t="shared" si="78"/>
        <v/>
      </c>
    </row>
    <row r="597" spans="2:29" x14ac:dyDescent="0.25">
      <c r="B597" s="54">
        <v>591</v>
      </c>
      <c r="C597" s="168"/>
      <c r="D597" s="51"/>
      <c r="E597" s="29"/>
      <c r="F597" s="48"/>
      <c r="G597" s="29"/>
      <c r="H597" s="187"/>
      <c r="I597" s="187"/>
      <c r="J597" s="195"/>
      <c r="K597" s="86" t="str">
        <f t="shared" si="72"/>
        <v/>
      </c>
      <c r="L597" s="57" t="str">
        <f t="shared" si="79"/>
        <v/>
      </c>
      <c r="M597" s="186"/>
      <c r="N597" s="189"/>
      <c r="O597" s="190"/>
      <c r="P597" s="190" t="str">
        <f>IF(OR(ISBLANK(V597),COUNTBLANK(V597:$V$1048576)=ROWS(V597:$V$1048576)),"",$R$2*(1+SUM(V$7:V597)))</f>
        <v/>
      </c>
      <c r="Q597" s="191"/>
      <c r="R597" s="189"/>
      <c r="S597" s="53" t="str">
        <f t="shared" si="73"/>
        <v/>
      </c>
      <c r="T597" s="63" t="str">
        <f t="shared" si="74"/>
        <v/>
      </c>
      <c r="U597" s="64" t="str">
        <f>IF(OR(ISBLANK(Trades!R597), ISBLANK(Trades!H597), ISBLANK(Trades!I597)), "", IF(Trades!H597=Trades!I597, "N/A", (Trades!R597-Trades!H597)/(Trades!H597-Trades!I597)))</f>
        <v/>
      </c>
      <c r="V597" s="65" t="str">
        <f t="shared" si="75"/>
        <v/>
      </c>
      <c r="W597" s="66" t="str">
        <f t="shared" si="76"/>
        <v/>
      </c>
      <c r="X597" s="62" t="str">
        <f t="shared" si="77"/>
        <v/>
      </c>
      <c r="Y597" s="45"/>
      <c r="Z597" s="44"/>
      <c r="AA597" s="41"/>
      <c r="AB597" s="39"/>
      <c r="AC597" s="37" t="str">
        <f t="shared" si="78"/>
        <v/>
      </c>
    </row>
    <row r="598" spans="2:29" x14ac:dyDescent="0.25">
      <c r="B598" s="54">
        <v>592</v>
      </c>
      <c r="C598" s="168"/>
      <c r="D598" s="51"/>
      <c r="E598" s="29"/>
      <c r="F598" s="48"/>
      <c r="G598" s="29"/>
      <c r="H598" s="187"/>
      <c r="I598" s="187"/>
      <c r="J598" s="195"/>
      <c r="K598" s="86" t="str">
        <f t="shared" si="72"/>
        <v/>
      </c>
      <c r="L598" s="57" t="str">
        <f t="shared" si="79"/>
        <v/>
      </c>
      <c r="M598" s="186"/>
      <c r="N598" s="189"/>
      <c r="O598" s="190"/>
      <c r="P598" s="190" t="str">
        <f>IF(OR(ISBLANK(V598),COUNTBLANK(V598:$V$1048576)=ROWS(V598:$V$1048576)),"",$R$2*(1+SUM(V$7:V598)))</f>
        <v/>
      </c>
      <c r="Q598" s="191"/>
      <c r="R598" s="189"/>
      <c r="S598" s="53" t="str">
        <f t="shared" si="73"/>
        <v/>
      </c>
      <c r="T598" s="63" t="str">
        <f t="shared" si="74"/>
        <v/>
      </c>
      <c r="U598" s="64" t="str">
        <f>IF(OR(ISBLANK(Trades!R598), ISBLANK(Trades!H598), ISBLANK(Trades!I598)), "", IF(Trades!H598=Trades!I598, "N/A", (Trades!R598-Trades!H598)/(Trades!H598-Trades!I598)))</f>
        <v/>
      </c>
      <c r="V598" s="65" t="str">
        <f t="shared" si="75"/>
        <v/>
      </c>
      <c r="W598" s="66" t="str">
        <f t="shared" si="76"/>
        <v/>
      </c>
      <c r="X598" s="62" t="str">
        <f t="shared" si="77"/>
        <v/>
      </c>
      <c r="Y598" s="45"/>
      <c r="Z598" s="44"/>
      <c r="AA598" s="41"/>
      <c r="AB598" s="39"/>
      <c r="AC598" s="37" t="str">
        <f t="shared" si="78"/>
        <v/>
      </c>
    </row>
    <row r="599" spans="2:29" x14ac:dyDescent="0.25">
      <c r="B599" s="54">
        <v>593</v>
      </c>
      <c r="C599" s="168"/>
      <c r="D599" s="51"/>
      <c r="E599" s="29"/>
      <c r="F599" s="48"/>
      <c r="G599" s="29"/>
      <c r="H599" s="187"/>
      <c r="I599" s="187"/>
      <c r="J599" s="195"/>
      <c r="K599" s="86" t="str">
        <f t="shared" si="72"/>
        <v/>
      </c>
      <c r="L599" s="57" t="str">
        <f t="shared" si="79"/>
        <v/>
      </c>
      <c r="M599" s="186"/>
      <c r="N599" s="189"/>
      <c r="O599" s="190"/>
      <c r="P599" s="190" t="str">
        <f>IF(OR(ISBLANK(V599),COUNTBLANK(V599:$V$1048576)=ROWS(V599:$V$1048576)),"",$R$2*(1+SUM(V$7:V599)))</f>
        <v/>
      </c>
      <c r="Q599" s="191"/>
      <c r="R599" s="189"/>
      <c r="S599" s="53" t="str">
        <f t="shared" si="73"/>
        <v/>
      </c>
      <c r="T599" s="63" t="str">
        <f t="shared" si="74"/>
        <v/>
      </c>
      <c r="U599" s="64" t="str">
        <f>IF(OR(ISBLANK(Trades!R599), ISBLANK(Trades!H599), ISBLANK(Trades!I599)), "", IF(Trades!H599=Trades!I599, "N/A", (Trades!R599-Trades!H599)/(Trades!H599-Trades!I599)))</f>
        <v/>
      </c>
      <c r="V599" s="65" t="str">
        <f t="shared" si="75"/>
        <v/>
      </c>
      <c r="W599" s="66" t="str">
        <f t="shared" si="76"/>
        <v/>
      </c>
      <c r="X599" s="62" t="str">
        <f t="shared" si="77"/>
        <v/>
      </c>
      <c r="Y599" s="45"/>
      <c r="Z599" s="44"/>
      <c r="AA599" s="41"/>
      <c r="AB599" s="39"/>
      <c r="AC599" s="37" t="str">
        <f t="shared" si="78"/>
        <v/>
      </c>
    </row>
    <row r="600" spans="2:29" x14ac:dyDescent="0.25">
      <c r="B600" s="54">
        <v>594</v>
      </c>
      <c r="C600" s="168"/>
      <c r="D600" s="51"/>
      <c r="E600" s="29"/>
      <c r="F600" s="48"/>
      <c r="G600" s="29"/>
      <c r="H600" s="187"/>
      <c r="I600" s="187"/>
      <c r="J600" s="195"/>
      <c r="K600" s="86" t="str">
        <f t="shared" si="72"/>
        <v/>
      </c>
      <c r="L600" s="57" t="str">
        <f t="shared" si="79"/>
        <v/>
      </c>
      <c r="M600" s="186"/>
      <c r="N600" s="189"/>
      <c r="O600" s="190"/>
      <c r="P600" s="190" t="str">
        <f>IF(OR(ISBLANK(V600),COUNTBLANK(V600:$V$1048576)=ROWS(V600:$V$1048576)),"",$R$2*(1+SUM(V$7:V600)))</f>
        <v/>
      </c>
      <c r="Q600" s="191"/>
      <c r="R600" s="189"/>
      <c r="S600" s="53" t="str">
        <f t="shared" si="73"/>
        <v/>
      </c>
      <c r="T600" s="63" t="str">
        <f t="shared" si="74"/>
        <v/>
      </c>
      <c r="U600" s="64" t="str">
        <f>IF(OR(ISBLANK(Trades!R600), ISBLANK(Trades!H600), ISBLANK(Trades!I600)), "", IF(Trades!H600=Trades!I600, "N/A", (Trades!R600-Trades!H600)/(Trades!H600-Trades!I600)))</f>
        <v/>
      </c>
      <c r="V600" s="65" t="str">
        <f t="shared" si="75"/>
        <v/>
      </c>
      <c r="W600" s="66" t="str">
        <f t="shared" si="76"/>
        <v/>
      </c>
      <c r="X600" s="62" t="str">
        <f t="shared" si="77"/>
        <v/>
      </c>
      <c r="Y600" s="45"/>
      <c r="Z600" s="44"/>
      <c r="AA600" s="41"/>
      <c r="AB600" s="39"/>
      <c r="AC600" s="37" t="str">
        <f t="shared" si="78"/>
        <v/>
      </c>
    </row>
    <row r="601" spans="2:29" x14ac:dyDescent="0.25">
      <c r="B601" s="54">
        <v>595</v>
      </c>
      <c r="C601" s="168"/>
      <c r="D601" s="51"/>
      <c r="E601" s="29"/>
      <c r="F601" s="48"/>
      <c r="G601" s="29"/>
      <c r="H601" s="187"/>
      <c r="I601" s="187"/>
      <c r="J601" s="195"/>
      <c r="K601" s="86" t="str">
        <f t="shared" si="72"/>
        <v/>
      </c>
      <c r="L601" s="57" t="str">
        <f t="shared" si="79"/>
        <v/>
      </c>
      <c r="M601" s="186"/>
      <c r="N601" s="189"/>
      <c r="O601" s="190"/>
      <c r="P601" s="190" t="str">
        <f>IF(OR(ISBLANK(V601),COUNTBLANK(V601:$V$1048576)=ROWS(V601:$V$1048576)),"",$R$2*(1+SUM(V$7:V601)))</f>
        <v/>
      </c>
      <c r="Q601" s="191"/>
      <c r="R601" s="189"/>
      <c r="S601" s="53" t="str">
        <f t="shared" si="73"/>
        <v/>
      </c>
      <c r="T601" s="63" t="str">
        <f t="shared" si="74"/>
        <v/>
      </c>
      <c r="U601" s="64" t="str">
        <f>IF(OR(ISBLANK(Trades!R601), ISBLANK(Trades!H601), ISBLANK(Trades!I601)), "", IF(Trades!H601=Trades!I601, "N/A", (Trades!R601-Trades!H601)/(Trades!H601-Trades!I601)))</f>
        <v/>
      </c>
      <c r="V601" s="65" t="str">
        <f t="shared" si="75"/>
        <v/>
      </c>
      <c r="W601" s="66" t="str">
        <f t="shared" si="76"/>
        <v/>
      </c>
      <c r="X601" s="62" t="str">
        <f t="shared" si="77"/>
        <v/>
      </c>
      <c r="Y601" s="45"/>
      <c r="Z601" s="44"/>
      <c r="AA601" s="41"/>
      <c r="AB601" s="39"/>
      <c r="AC601" s="37" t="str">
        <f t="shared" si="78"/>
        <v/>
      </c>
    </row>
    <row r="602" spans="2:29" x14ac:dyDescent="0.25">
      <c r="B602" s="54">
        <v>596</v>
      </c>
      <c r="C602" s="168"/>
      <c r="D602" s="51"/>
      <c r="E602" s="29"/>
      <c r="F602" s="48"/>
      <c r="G602" s="29"/>
      <c r="H602" s="187"/>
      <c r="I602" s="187"/>
      <c r="J602" s="195"/>
      <c r="K602" s="86" t="str">
        <f t="shared" si="72"/>
        <v/>
      </c>
      <c r="L602" s="57" t="str">
        <f t="shared" si="79"/>
        <v/>
      </c>
      <c r="M602" s="186"/>
      <c r="N602" s="189"/>
      <c r="O602" s="190"/>
      <c r="P602" s="190" t="str">
        <f>IF(OR(ISBLANK(V602),COUNTBLANK(V602:$V$1048576)=ROWS(V602:$V$1048576)),"",$R$2*(1+SUM(V$7:V602)))</f>
        <v/>
      </c>
      <c r="Q602" s="191"/>
      <c r="R602" s="189"/>
      <c r="S602" s="53" t="str">
        <f t="shared" si="73"/>
        <v/>
      </c>
      <c r="T602" s="63" t="str">
        <f t="shared" si="74"/>
        <v/>
      </c>
      <c r="U602" s="64" t="str">
        <f>IF(OR(ISBLANK(Trades!R602), ISBLANK(Trades!H602), ISBLANK(Trades!I602)), "", IF(Trades!H602=Trades!I602, "N/A", (Trades!R602-Trades!H602)/(Trades!H602-Trades!I602)))</f>
        <v/>
      </c>
      <c r="V602" s="65" t="str">
        <f t="shared" si="75"/>
        <v/>
      </c>
      <c r="W602" s="66" t="str">
        <f t="shared" si="76"/>
        <v/>
      </c>
      <c r="X602" s="62" t="str">
        <f t="shared" si="77"/>
        <v/>
      </c>
      <c r="Y602" s="45"/>
      <c r="Z602" s="44"/>
      <c r="AA602" s="41"/>
      <c r="AB602" s="39"/>
      <c r="AC602" s="37" t="str">
        <f t="shared" si="78"/>
        <v/>
      </c>
    </row>
    <row r="603" spans="2:29" x14ac:dyDescent="0.25">
      <c r="B603" s="54">
        <v>597</v>
      </c>
      <c r="C603" s="168"/>
      <c r="D603" s="51"/>
      <c r="E603" s="29"/>
      <c r="F603" s="48"/>
      <c r="G603" s="29"/>
      <c r="H603" s="187"/>
      <c r="I603" s="187"/>
      <c r="J603" s="195"/>
      <c r="K603" s="86" t="str">
        <f t="shared" si="72"/>
        <v/>
      </c>
      <c r="L603" s="57" t="str">
        <f t="shared" si="79"/>
        <v/>
      </c>
      <c r="M603" s="186"/>
      <c r="N603" s="189"/>
      <c r="O603" s="190"/>
      <c r="P603" s="190" t="str">
        <f>IF(OR(ISBLANK(V603),COUNTBLANK(V603:$V$1048576)=ROWS(V603:$V$1048576)),"",$R$2*(1+SUM(V$7:V603)))</f>
        <v/>
      </c>
      <c r="Q603" s="191"/>
      <c r="R603" s="189"/>
      <c r="S603" s="53" t="str">
        <f t="shared" si="73"/>
        <v/>
      </c>
      <c r="T603" s="63" t="str">
        <f t="shared" si="74"/>
        <v/>
      </c>
      <c r="U603" s="64" t="str">
        <f>IF(OR(ISBLANK(Trades!R603), ISBLANK(Trades!H603), ISBLANK(Trades!I603)), "", IF(Trades!H603=Trades!I603, "N/A", (Trades!R603-Trades!H603)/(Trades!H603-Trades!I603)))</f>
        <v/>
      </c>
      <c r="V603" s="65" t="str">
        <f t="shared" si="75"/>
        <v/>
      </c>
      <c r="W603" s="66" t="str">
        <f t="shared" si="76"/>
        <v/>
      </c>
      <c r="X603" s="62" t="str">
        <f t="shared" si="77"/>
        <v/>
      </c>
      <c r="Y603" s="45"/>
      <c r="Z603" s="44"/>
      <c r="AA603" s="41"/>
      <c r="AB603" s="39"/>
      <c r="AC603" s="37" t="str">
        <f t="shared" si="78"/>
        <v/>
      </c>
    </row>
    <row r="604" spans="2:29" x14ac:dyDescent="0.25">
      <c r="B604" s="54">
        <v>598</v>
      </c>
      <c r="C604" s="168"/>
      <c r="D604" s="51"/>
      <c r="E604" s="29"/>
      <c r="F604" s="48"/>
      <c r="G604" s="29"/>
      <c r="H604" s="187"/>
      <c r="I604" s="187"/>
      <c r="J604" s="195"/>
      <c r="K604" s="86" t="str">
        <f t="shared" si="72"/>
        <v/>
      </c>
      <c r="L604" s="57" t="str">
        <f t="shared" si="79"/>
        <v/>
      </c>
      <c r="M604" s="186"/>
      <c r="N604" s="189"/>
      <c r="O604" s="190"/>
      <c r="P604" s="190" t="str">
        <f>IF(OR(ISBLANK(V604),COUNTBLANK(V604:$V$1048576)=ROWS(V604:$V$1048576)),"",$R$2*(1+SUM(V$7:V604)))</f>
        <v/>
      </c>
      <c r="Q604" s="191"/>
      <c r="R604" s="189"/>
      <c r="S604" s="53" t="str">
        <f t="shared" si="73"/>
        <v/>
      </c>
      <c r="T604" s="63" t="str">
        <f t="shared" si="74"/>
        <v/>
      </c>
      <c r="U604" s="64" t="str">
        <f>IF(OR(ISBLANK(Trades!R604), ISBLANK(Trades!H604), ISBLANK(Trades!I604)), "", IF(Trades!H604=Trades!I604, "N/A", (Trades!R604-Trades!H604)/(Trades!H604-Trades!I604)))</f>
        <v/>
      </c>
      <c r="V604" s="65" t="str">
        <f t="shared" si="75"/>
        <v/>
      </c>
      <c r="W604" s="66" t="str">
        <f t="shared" si="76"/>
        <v/>
      </c>
      <c r="X604" s="62" t="str">
        <f t="shared" si="77"/>
        <v/>
      </c>
      <c r="Y604" s="45"/>
      <c r="Z604" s="44"/>
      <c r="AA604" s="41"/>
      <c r="AB604" s="39"/>
      <c r="AC604" s="37" t="str">
        <f t="shared" si="78"/>
        <v/>
      </c>
    </row>
    <row r="605" spans="2:29" x14ac:dyDescent="0.25">
      <c r="B605" s="54">
        <v>599</v>
      </c>
      <c r="C605" s="168"/>
      <c r="D605" s="51"/>
      <c r="E605" s="29"/>
      <c r="F605" s="48"/>
      <c r="G605" s="29"/>
      <c r="H605" s="187"/>
      <c r="I605" s="187"/>
      <c r="J605" s="195"/>
      <c r="K605" s="86" t="str">
        <f t="shared" si="72"/>
        <v/>
      </c>
      <c r="L605" s="57" t="str">
        <f t="shared" si="79"/>
        <v/>
      </c>
      <c r="M605" s="186"/>
      <c r="N605" s="189"/>
      <c r="O605" s="190"/>
      <c r="P605" s="190" t="str">
        <f>IF(OR(ISBLANK(V605),COUNTBLANK(V605:$V$1048576)=ROWS(V605:$V$1048576)),"",$R$2*(1+SUM(V$7:V605)))</f>
        <v/>
      </c>
      <c r="Q605" s="191"/>
      <c r="R605" s="189"/>
      <c r="S605" s="53" t="str">
        <f t="shared" si="73"/>
        <v/>
      </c>
      <c r="T605" s="63" t="str">
        <f t="shared" si="74"/>
        <v/>
      </c>
      <c r="U605" s="64" t="str">
        <f>IF(OR(ISBLANK(Trades!R605), ISBLANK(Trades!H605), ISBLANK(Trades!I605)), "", IF(Trades!H605=Trades!I605, "N/A", (Trades!R605-Trades!H605)/(Trades!H605-Trades!I605)))</f>
        <v/>
      </c>
      <c r="V605" s="65" t="str">
        <f t="shared" si="75"/>
        <v/>
      </c>
      <c r="W605" s="66" t="str">
        <f t="shared" si="76"/>
        <v/>
      </c>
      <c r="X605" s="62" t="str">
        <f t="shared" si="77"/>
        <v/>
      </c>
      <c r="Y605" s="45"/>
      <c r="Z605" s="44"/>
      <c r="AA605" s="41"/>
      <c r="AB605" s="39"/>
      <c r="AC605" s="37" t="str">
        <f t="shared" si="78"/>
        <v/>
      </c>
    </row>
    <row r="606" spans="2:29" x14ac:dyDescent="0.25">
      <c r="B606" s="54">
        <v>600</v>
      </c>
      <c r="C606" s="168"/>
      <c r="D606" s="51"/>
      <c r="E606" s="29"/>
      <c r="F606" s="48"/>
      <c r="G606" s="29"/>
      <c r="H606" s="187"/>
      <c r="I606" s="187"/>
      <c r="J606" s="195"/>
      <c r="K606" s="86" t="str">
        <f t="shared" si="72"/>
        <v/>
      </c>
      <c r="L606" s="57" t="str">
        <f t="shared" si="79"/>
        <v/>
      </c>
      <c r="M606" s="186"/>
      <c r="N606" s="189"/>
      <c r="O606" s="190"/>
      <c r="P606" s="190" t="str">
        <f>IF(OR(ISBLANK(V606),COUNTBLANK(V606:$V$1048576)=ROWS(V606:$V$1048576)),"",$R$2*(1+SUM(V$7:V606)))</f>
        <v/>
      </c>
      <c r="Q606" s="191"/>
      <c r="R606" s="189"/>
      <c r="S606" s="53" t="str">
        <f t="shared" si="73"/>
        <v/>
      </c>
      <c r="T606" s="63" t="str">
        <f t="shared" si="74"/>
        <v/>
      </c>
      <c r="U606" s="64" t="str">
        <f>IF(OR(ISBLANK(Trades!R606), ISBLANK(Trades!H606), ISBLANK(Trades!I606)), "", IF(Trades!H606=Trades!I606, "N/A", (Trades!R606-Trades!H606)/(Trades!H606-Trades!I606)))</f>
        <v/>
      </c>
      <c r="V606" s="65" t="str">
        <f t="shared" si="75"/>
        <v/>
      </c>
      <c r="W606" s="66" t="str">
        <f t="shared" si="76"/>
        <v/>
      </c>
      <c r="X606" s="62" t="str">
        <f t="shared" si="77"/>
        <v/>
      </c>
      <c r="Y606" s="45"/>
      <c r="Z606" s="44"/>
      <c r="AA606" s="41"/>
      <c r="AB606" s="39"/>
      <c r="AC606" s="37" t="str">
        <f t="shared" si="78"/>
        <v/>
      </c>
    </row>
    <row r="607" spans="2:29" x14ac:dyDescent="0.25">
      <c r="B607" s="54">
        <v>601</v>
      </c>
      <c r="C607" s="168"/>
      <c r="D607" s="51"/>
      <c r="E607" s="29"/>
      <c r="F607" s="48"/>
      <c r="G607" s="29"/>
      <c r="H607" s="187"/>
      <c r="I607" s="187"/>
      <c r="J607" s="195"/>
      <c r="K607" s="86" t="str">
        <f t="shared" si="72"/>
        <v/>
      </c>
      <c r="L607" s="57" t="str">
        <f t="shared" si="79"/>
        <v/>
      </c>
      <c r="M607" s="186"/>
      <c r="N607" s="189"/>
      <c r="O607" s="190"/>
      <c r="P607" s="190" t="str">
        <f>IF(OR(ISBLANK(V607),COUNTBLANK(V607:$V$1048576)=ROWS(V607:$V$1048576)),"",$R$2*(1+SUM(V$7:V607)))</f>
        <v/>
      </c>
      <c r="Q607" s="191"/>
      <c r="R607" s="189"/>
      <c r="S607" s="53" t="str">
        <f t="shared" si="73"/>
        <v/>
      </c>
      <c r="T607" s="63" t="str">
        <f t="shared" si="74"/>
        <v/>
      </c>
      <c r="U607" s="64" t="str">
        <f>IF(OR(ISBLANK(Trades!R607), ISBLANK(Trades!H607), ISBLANK(Trades!I607)), "", IF(Trades!H607=Trades!I607, "N/A", (Trades!R607-Trades!H607)/(Trades!H607-Trades!I607)))</f>
        <v/>
      </c>
      <c r="V607" s="65" t="str">
        <f t="shared" si="75"/>
        <v/>
      </c>
      <c r="W607" s="66" t="str">
        <f t="shared" si="76"/>
        <v/>
      </c>
      <c r="X607" s="62" t="str">
        <f t="shared" si="77"/>
        <v/>
      </c>
      <c r="Y607" s="45"/>
      <c r="Z607" s="44"/>
      <c r="AA607" s="41"/>
      <c r="AB607" s="39"/>
      <c r="AC607" s="37" t="str">
        <f t="shared" si="78"/>
        <v/>
      </c>
    </row>
    <row r="608" spans="2:29" x14ac:dyDescent="0.25">
      <c r="B608" s="54">
        <v>602</v>
      </c>
      <c r="C608" s="168"/>
      <c r="D608" s="51"/>
      <c r="E608" s="29"/>
      <c r="F608" s="48"/>
      <c r="G608" s="29"/>
      <c r="H608" s="187"/>
      <c r="I608" s="187"/>
      <c r="J608" s="195"/>
      <c r="K608" s="86" t="str">
        <f t="shared" si="72"/>
        <v/>
      </c>
      <c r="L608" s="57" t="str">
        <f t="shared" si="79"/>
        <v/>
      </c>
      <c r="M608" s="186"/>
      <c r="N608" s="189"/>
      <c r="O608" s="190"/>
      <c r="P608" s="190" t="str">
        <f>IF(OR(ISBLANK(V608),COUNTBLANK(V608:$V$1048576)=ROWS(V608:$V$1048576)),"",$R$2*(1+SUM(V$7:V608)))</f>
        <v/>
      </c>
      <c r="Q608" s="191"/>
      <c r="R608" s="189"/>
      <c r="S608" s="53" t="str">
        <f t="shared" si="73"/>
        <v/>
      </c>
      <c r="T608" s="63" t="str">
        <f t="shared" si="74"/>
        <v/>
      </c>
      <c r="U608" s="64" t="str">
        <f>IF(OR(ISBLANK(Trades!R608), ISBLANK(Trades!H608), ISBLANK(Trades!I608)), "", IF(Trades!H608=Trades!I608, "N/A", (Trades!R608-Trades!H608)/(Trades!H608-Trades!I608)))</f>
        <v/>
      </c>
      <c r="V608" s="65" t="str">
        <f t="shared" si="75"/>
        <v/>
      </c>
      <c r="W608" s="66" t="str">
        <f t="shared" si="76"/>
        <v/>
      </c>
      <c r="X608" s="62" t="str">
        <f t="shared" si="77"/>
        <v/>
      </c>
      <c r="Y608" s="45"/>
      <c r="Z608" s="44"/>
      <c r="AA608" s="41"/>
      <c r="AB608" s="39"/>
      <c r="AC608" s="37" t="str">
        <f t="shared" si="78"/>
        <v/>
      </c>
    </row>
    <row r="609" spans="2:29" x14ac:dyDescent="0.25">
      <c r="B609" s="54">
        <v>603</v>
      </c>
      <c r="C609" s="168"/>
      <c r="D609" s="51"/>
      <c r="E609" s="29"/>
      <c r="F609" s="48"/>
      <c r="G609" s="29"/>
      <c r="H609" s="187"/>
      <c r="I609" s="187"/>
      <c r="J609" s="195"/>
      <c r="K609" s="86" t="str">
        <f t="shared" si="72"/>
        <v/>
      </c>
      <c r="L609" s="57" t="str">
        <f t="shared" si="79"/>
        <v/>
      </c>
      <c r="M609" s="186"/>
      <c r="N609" s="189"/>
      <c r="O609" s="190"/>
      <c r="P609" s="190" t="str">
        <f>IF(OR(ISBLANK(V609),COUNTBLANK(V609:$V$1048576)=ROWS(V609:$V$1048576)),"",$R$2*(1+SUM(V$7:V609)))</f>
        <v/>
      </c>
      <c r="Q609" s="191"/>
      <c r="R609" s="189"/>
      <c r="S609" s="53" t="str">
        <f t="shared" si="73"/>
        <v/>
      </c>
      <c r="T609" s="63" t="str">
        <f t="shared" si="74"/>
        <v/>
      </c>
      <c r="U609" s="64" t="str">
        <f>IF(OR(ISBLANK(Trades!R609), ISBLANK(Trades!H609), ISBLANK(Trades!I609)), "", IF(Trades!H609=Trades!I609, "N/A", (Trades!R609-Trades!H609)/(Trades!H609-Trades!I609)))</f>
        <v/>
      </c>
      <c r="V609" s="65" t="str">
        <f t="shared" si="75"/>
        <v/>
      </c>
      <c r="W609" s="66" t="str">
        <f t="shared" si="76"/>
        <v/>
      </c>
      <c r="X609" s="62" t="str">
        <f t="shared" si="77"/>
        <v/>
      </c>
      <c r="Y609" s="45"/>
      <c r="Z609" s="44"/>
      <c r="AA609" s="41"/>
      <c r="AB609" s="39"/>
      <c r="AC609" s="37" t="str">
        <f t="shared" si="78"/>
        <v/>
      </c>
    </row>
    <row r="610" spans="2:29" x14ac:dyDescent="0.25">
      <c r="B610" s="54">
        <v>604</v>
      </c>
      <c r="C610" s="168"/>
      <c r="D610" s="51"/>
      <c r="E610" s="29"/>
      <c r="F610" s="48"/>
      <c r="G610" s="29"/>
      <c r="H610" s="187"/>
      <c r="I610" s="187"/>
      <c r="J610" s="195"/>
      <c r="K610" s="86" t="str">
        <f t="shared" si="72"/>
        <v/>
      </c>
      <c r="L610" s="57" t="str">
        <f t="shared" si="79"/>
        <v/>
      </c>
      <c r="M610" s="186"/>
      <c r="N610" s="189"/>
      <c r="O610" s="190"/>
      <c r="P610" s="190" t="str">
        <f>IF(OR(ISBLANK(V610),COUNTBLANK(V610:$V$1048576)=ROWS(V610:$V$1048576)),"",$R$2*(1+SUM(V$7:V610)))</f>
        <v/>
      </c>
      <c r="Q610" s="191"/>
      <c r="R610" s="189"/>
      <c r="S610" s="53" t="str">
        <f t="shared" si="73"/>
        <v/>
      </c>
      <c r="T610" s="63" t="str">
        <f t="shared" si="74"/>
        <v/>
      </c>
      <c r="U610" s="64" t="str">
        <f>IF(OR(ISBLANK(Trades!R610), ISBLANK(Trades!H610), ISBLANK(Trades!I610)), "", IF(Trades!H610=Trades!I610, "N/A", (Trades!R610-Trades!H610)/(Trades!H610-Trades!I610)))</f>
        <v/>
      </c>
      <c r="V610" s="65" t="str">
        <f t="shared" si="75"/>
        <v/>
      </c>
      <c r="W610" s="66" t="str">
        <f t="shared" si="76"/>
        <v/>
      </c>
      <c r="X610" s="62" t="str">
        <f t="shared" si="77"/>
        <v/>
      </c>
      <c r="Y610" s="45"/>
      <c r="Z610" s="44"/>
      <c r="AA610" s="41"/>
      <c r="AB610" s="39"/>
      <c r="AC610" s="37" t="str">
        <f t="shared" si="78"/>
        <v/>
      </c>
    </row>
    <row r="611" spans="2:29" x14ac:dyDescent="0.25">
      <c r="B611" s="54">
        <v>605</v>
      </c>
      <c r="C611" s="168"/>
      <c r="D611" s="51"/>
      <c r="E611" s="29"/>
      <c r="F611" s="48"/>
      <c r="G611" s="29"/>
      <c r="H611" s="187"/>
      <c r="I611" s="187"/>
      <c r="J611" s="195"/>
      <c r="K611" s="86" t="str">
        <f t="shared" si="72"/>
        <v/>
      </c>
      <c r="L611" s="57" t="str">
        <f t="shared" si="79"/>
        <v/>
      </c>
      <c r="M611" s="186"/>
      <c r="N611" s="189"/>
      <c r="O611" s="190"/>
      <c r="P611" s="190" t="str">
        <f>IF(OR(ISBLANK(V611),COUNTBLANK(V611:$V$1048576)=ROWS(V611:$V$1048576)),"",$R$2*(1+SUM(V$7:V611)))</f>
        <v/>
      </c>
      <c r="Q611" s="191"/>
      <c r="R611" s="189"/>
      <c r="S611" s="53" t="str">
        <f t="shared" si="73"/>
        <v/>
      </c>
      <c r="T611" s="63" t="str">
        <f t="shared" si="74"/>
        <v/>
      </c>
      <c r="U611" s="64" t="str">
        <f>IF(OR(ISBLANK(Trades!R611), ISBLANK(Trades!H611), ISBLANK(Trades!I611)), "", IF(Trades!H611=Trades!I611, "N/A", (Trades!R611-Trades!H611)/(Trades!H611-Trades!I611)))</f>
        <v/>
      </c>
      <c r="V611" s="65" t="str">
        <f t="shared" si="75"/>
        <v/>
      </c>
      <c r="W611" s="66" t="str">
        <f t="shared" si="76"/>
        <v/>
      </c>
      <c r="X611" s="62" t="str">
        <f t="shared" si="77"/>
        <v/>
      </c>
      <c r="Y611" s="45"/>
      <c r="Z611" s="44"/>
      <c r="AA611" s="41"/>
      <c r="AB611" s="39"/>
      <c r="AC611" s="37" t="str">
        <f t="shared" si="78"/>
        <v/>
      </c>
    </row>
    <row r="612" spans="2:29" x14ac:dyDescent="0.25">
      <c r="B612" s="54">
        <v>606</v>
      </c>
      <c r="C612" s="168"/>
      <c r="D612" s="51"/>
      <c r="E612" s="29"/>
      <c r="F612" s="48"/>
      <c r="G612" s="29"/>
      <c r="H612" s="187"/>
      <c r="I612" s="187"/>
      <c r="J612" s="195"/>
      <c r="K612" s="86" t="str">
        <f t="shared" si="72"/>
        <v/>
      </c>
      <c r="L612" s="57" t="str">
        <f t="shared" si="79"/>
        <v/>
      </c>
      <c r="M612" s="186"/>
      <c r="N612" s="189"/>
      <c r="O612" s="190"/>
      <c r="P612" s="190" t="str">
        <f>IF(OR(ISBLANK(V612),COUNTBLANK(V612:$V$1048576)=ROWS(V612:$V$1048576)),"",$R$2*(1+SUM(V$7:V612)))</f>
        <v/>
      </c>
      <c r="Q612" s="191"/>
      <c r="R612" s="189"/>
      <c r="S612" s="53" t="str">
        <f t="shared" si="73"/>
        <v/>
      </c>
      <c r="T612" s="63" t="str">
        <f t="shared" si="74"/>
        <v/>
      </c>
      <c r="U612" s="64" t="str">
        <f>IF(OR(ISBLANK(Trades!R612), ISBLANK(Trades!H612), ISBLANK(Trades!I612)), "", IF(Trades!H612=Trades!I612, "N/A", (Trades!R612-Trades!H612)/(Trades!H612-Trades!I612)))</f>
        <v/>
      </c>
      <c r="V612" s="65" t="str">
        <f t="shared" si="75"/>
        <v/>
      </c>
      <c r="W612" s="66" t="str">
        <f t="shared" si="76"/>
        <v/>
      </c>
      <c r="X612" s="62" t="str">
        <f t="shared" si="77"/>
        <v/>
      </c>
      <c r="Y612" s="45"/>
      <c r="Z612" s="44"/>
      <c r="AA612" s="41"/>
      <c r="AB612" s="39"/>
      <c r="AC612" s="37" t="str">
        <f t="shared" si="78"/>
        <v/>
      </c>
    </row>
    <row r="613" spans="2:29" x14ac:dyDescent="0.25">
      <c r="B613" s="54">
        <v>607</v>
      </c>
      <c r="C613" s="168"/>
      <c r="D613" s="51"/>
      <c r="E613" s="29"/>
      <c r="F613" s="48"/>
      <c r="G613" s="29"/>
      <c r="H613" s="187"/>
      <c r="I613" s="187"/>
      <c r="J613" s="195"/>
      <c r="K613" s="86" t="str">
        <f t="shared" si="72"/>
        <v/>
      </c>
      <c r="L613" s="57" t="str">
        <f t="shared" si="79"/>
        <v/>
      </c>
      <c r="M613" s="186"/>
      <c r="N613" s="189"/>
      <c r="O613" s="190"/>
      <c r="P613" s="190" t="str">
        <f>IF(OR(ISBLANK(V613),COUNTBLANK(V613:$V$1048576)=ROWS(V613:$V$1048576)),"",$R$2*(1+SUM(V$7:V613)))</f>
        <v/>
      </c>
      <c r="Q613" s="191"/>
      <c r="R613" s="189"/>
      <c r="S613" s="53" t="str">
        <f t="shared" si="73"/>
        <v/>
      </c>
      <c r="T613" s="63" t="str">
        <f t="shared" si="74"/>
        <v/>
      </c>
      <c r="U613" s="64" t="str">
        <f>IF(OR(ISBLANK(Trades!R613), ISBLANK(Trades!H613), ISBLANK(Trades!I613)), "", IF(Trades!H613=Trades!I613, "N/A", (Trades!R613-Trades!H613)/(Trades!H613-Trades!I613)))</f>
        <v/>
      </c>
      <c r="V613" s="65" t="str">
        <f t="shared" si="75"/>
        <v/>
      </c>
      <c r="W613" s="66" t="str">
        <f t="shared" si="76"/>
        <v/>
      </c>
      <c r="X613" s="62" t="str">
        <f t="shared" si="77"/>
        <v/>
      </c>
      <c r="Y613" s="45"/>
      <c r="Z613" s="44"/>
      <c r="AA613" s="41"/>
      <c r="AB613" s="39"/>
      <c r="AC613" s="37" t="str">
        <f t="shared" si="78"/>
        <v/>
      </c>
    </row>
    <row r="614" spans="2:29" x14ac:dyDescent="0.25">
      <c r="B614" s="54">
        <v>608</v>
      </c>
      <c r="C614" s="168"/>
      <c r="D614" s="51"/>
      <c r="E614" s="29"/>
      <c r="F614" s="48"/>
      <c r="G614" s="29"/>
      <c r="H614" s="187"/>
      <c r="I614" s="187"/>
      <c r="J614" s="195"/>
      <c r="K614" s="86" t="str">
        <f t="shared" si="72"/>
        <v/>
      </c>
      <c r="L614" s="57" t="str">
        <f t="shared" si="79"/>
        <v/>
      </c>
      <c r="M614" s="186"/>
      <c r="N614" s="189"/>
      <c r="O614" s="190"/>
      <c r="P614" s="190" t="str">
        <f>IF(OR(ISBLANK(V614),COUNTBLANK(V614:$V$1048576)=ROWS(V614:$V$1048576)),"",$R$2*(1+SUM(V$7:V614)))</f>
        <v/>
      </c>
      <c r="Q614" s="191"/>
      <c r="R614" s="189"/>
      <c r="S614" s="53" t="str">
        <f t="shared" si="73"/>
        <v/>
      </c>
      <c r="T614" s="63" t="str">
        <f t="shared" si="74"/>
        <v/>
      </c>
      <c r="U614" s="64" t="str">
        <f>IF(OR(ISBLANK(Trades!R614), ISBLANK(Trades!H614), ISBLANK(Trades!I614)), "", IF(Trades!H614=Trades!I614, "N/A", (Trades!R614-Trades!H614)/(Trades!H614-Trades!I614)))</f>
        <v/>
      </c>
      <c r="V614" s="65" t="str">
        <f t="shared" si="75"/>
        <v/>
      </c>
      <c r="W614" s="66" t="str">
        <f t="shared" si="76"/>
        <v/>
      </c>
      <c r="X614" s="62" t="str">
        <f t="shared" si="77"/>
        <v/>
      </c>
      <c r="Y614" s="45"/>
      <c r="Z614" s="44"/>
      <c r="AA614" s="41"/>
      <c r="AB614" s="39"/>
      <c r="AC614" s="37" t="str">
        <f t="shared" si="78"/>
        <v/>
      </c>
    </row>
    <row r="615" spans="2:29" x14ac:dyDescent="0.25">
      <c r="B615" s="54">
        <v>609</v>
      </c>
      <c r="C615" s="168"/>
      <c r="D615" s="51"/>
      <c r="E615" s="29"/>
      <c r="F615" s="48"/>
      <c r="G615" s="29"/>
      <c r="H615" s="187"/>
      <c r="I615" s="187"/>
      <c r="J615" s="195"/>
      <c r="K615" s="86" t="str">
        <f t="shared" si="72"/>
        <v/>
      </c>
      <c r="L615" s="57" t="str">
        <f t="shared" si="79"/>
        <v/>
      </c>
      <c r="M615" s="186"/>
      <c r="N615" s="189"/>
      <c r="O615" s="190"/>
      <c r="P615" s="190" t="str">
        <f>IF(OR(ISBLANK(V615),COUNTBLANK(V615:$V$1048576)=ROWS(V615:$V$1048576)),"",$R$2*(1+SUM(V$7:V615)))</f>
        <v/>
      </c>
      <c r="Q615" s="191"/>
      <c r="R615" s="189"/>
      <c r="S615" s="53" t="str">
        <f t="shared" si="73"/>
        <v/>
      </c>
      <c r="T615" s="63" t="str">
        <f t="shared" si="74"/>
        <v/>
      </c>
      <c r="U615" s="64" t="str">
        <f>IF(OR(ISBLANK(Trades!R615), ISBLANK(Trades!H615), ISBLANK(Trades!I615)), "", IF(Trades!H615=Trades!I615, "N/A", (Trades!R615-Trades!H615)/(Trades!H615-Trades!I615)))</f>
        <v/>
      </c>
      <c r="V615" s="65" t="str">
        <f t="shared" si="75"/>
        <v/>
      </c>
      <c r="W615" s="66" t="str">
        <f t="shared" si="76"/>
        <v/>
      </c>
      <c r="X615" s="62" t="str">
        <f t="shared" si="77"/>
        <v/>
      </c>
      <c r="Y615" s="45"/>
      <c r="Z615" s="44"/>
      <c r="AA615" s="41"/>
      <c r="AB615" s="39"/>
      <c r="AC615" s="37" t="str">
        <f t="shared" si="78"/>
        <v/>
      </c>
    </row>
    <row r="616" spans="2:29" x14ac:dyDescent="0.25">
      <c r="B616" s="54">
        <v>610</v>
      </c>
      <c r="C616" s="168"/>
      <c r="D616" s="51"/>
      <c r="E616" s="29"/>
      <c r="F616" s="48"/>
      <c r="G616" s="29"/>
      <c r="H616" s="187"/>
      <c r="I616" s="187"/>
      <c r="J616" s="195"/>
      <c r="K616" s="86" t="str">
        <f t="shared" si="72"/>
        <v/>
      </c>
      <c r="L616" s="57" t="str">
        <f t="shared" si="79"/>
        <v/>
      </c>
      <c r="M616" s="186"/>
      <c r="N616" s="189"/>
      <c r="O616" s="190"/>
      <c r="P616" s="190" t="str">
        <f>IF(OR(ISBLANK(V616),COUNTBLANK(V616:$V$1048576)=ROWS(V616:$V$1048576)),"",$R$2*(1+SUM(V$7:V616)))</f>
        <v/>
      </c>
      <c r="Q616" s="191"/>
      <c r="R616" s="189"/>
      <c r="S616" s="53" t="str">
        <f t="shared" si="73"/>
        <v/>
      </c>
      <c r="T616" s="63" t="str">
        <f t="shared" si="74"/>
        <v/>
      </c>
      <c r="U616" s="64" t="str">
        <f>IF(OR(ISBLANK(Trades!R616), ISBLANK(Trades!H616), ISBLANK(Trades!I616)), "", IF(Trades!H616=Trades!I616, "N/A", (Trades!R616-Trades!H616)/(Trades!H616-Trades!I616)))</f>
        <v/>
      </c>
      <c r="V616" s="65" t="str">
        <f t="shared" si="75"/>
        <v/>
      </c>
      <c r="W616" s="66" t="str">
        <f t="shared" si="76"/>
        <v/>
      </c>
      <c r="X616" s="62" t="str">
        <f t="shared" si="77"/>
        <v/>
      </c>
      <c r="Y616" s="45"/>
      <c r="Z616" s="44"/>
      <c r="AA616" s="41"/>
      <c r="AB616" s="39"/>
      <c r="AC616" s="37" t="str">
        <f t="shared" si="78"/>
        <v/>
      </c>
    </row>
    <row r="617" spans="2:29" x14ac:dyDescent="0.25">
      <c r="B617" s="54">
        <v>611</v>
      </c>
      <c r="C617" s="168"/>
      <c r="D617" s="51"/>
      <c r="E617" s="29"/>
      <c r="F617" s="48"/>
      <c r="G617" s="29"/>
      <c r="H617" s="187"/>
      <c r="I617" s="187"/>
      <c r="J617" s="195"/>
      <c r="K617" s="86" t="str">
        <f t="shared" si="72"/>
        <v/>
      </c>
      <c r="L617" s="57" t="str">
        <f t="shared" si="79"/>
        <v/>
      </c>
      <c r="M617" s="186"/>
      <c r="N617" s="189"/>
      <c r="O617" s="190"/>
      <c r="P617" s="190" t="str">
        <f>IF(OR(ISBLANK(V617),COUNTBLANK(V617:$V$1048576)=ROWS(V617:$V$1048576)),"",$R$2*(1+SUM(V$7:V617)))</f>
        <v/>
      </c>
      <c r="Q617" s="191"/>
      <c r="R617" s="189"/>
      <c r="S617" s="53" t="str">
        <f t="shared" si="73"/>
        <v/>
      </c>
      <c r="T617" s="63" t="str">
        <f t="shared" si="74"/>
        <v/>
      </c>
      <c r="U617" s="64" t="str">
        <f>IF(OR(ISBLANK(Trades!R617), ISBLANK(Trades!H617), ISBLANK(Trades!I617)), "", IF(Trades!H617=Trades!I617, "N/A", (Trades!R617-Trades!H617)/(Trades!H617-Trades!I617)))</f>
        <v/>
      </c>
      <c r="V617" s="65" t="str">
        <f t="shared" si="75"/>
        <v/>
      </c>
      <c r="W617" s="66" t="str">
        <f t="shared" si="76"/>
        <v/>
      </c>
      <c r="X617" s="62" t="str">
        <f t="shared" si="77"/>
        <v/>
      </c>
      <c r="Y617" s="45"/>
      <c r="Z617" s="44"/>
      <c r="AA617" s="41"/>
      <c r="AB617" s="39"/>
      <c r="AC617" s="37" t="str">
        <f t="shared" si="78"/>
        <v/>
      </c>
    </row>
    <row r="618" spans="2:29" x14ac:dyDescent="0.25">
      <c r="B618" s="54">
        <v>612</v>
      </c>
      <c r="C618" s="168"/>
      <c r="D618" s="51"/>
      <c r="E618" s="29"/>
      <c r="F618" s="48"/>
      <c r="G618" s="29"/>
      <c r="H618" s="187"/>
      <c r="I618" s="187"/>
      <c r="J618" s="195"/>
      <c r="K618" s="86" t="str">
        <f t="shared" si="72"/>
        <v/>
      </c>
      <c r="L618" s="57" t="str">
        <f t="shared" si="79"/>
        <v/>
      </c>
      <c r="M618" s="186"/>
      <c r="N618" s="189"/>
      <c r="O618" s="190"/>
      <c r="P618" s="190" t="str">
        <f>IF(OR(ISBLANK(V618),COUNTBLANK(V618:$V$1048576)=ROWS(V618:$V$1048576)),"",$R$2*(1+SUM(V$7:V618)))</f>
        <v/>
      </c>
      <c r="Q618" s="191"/>
      <c r="R618" s="189"/>
      <c r="S618" s="53" t="str">
        <f t="shared" si="73"/>
        <v/>
      </c>
      <c r="T618" s="63" t="str">
        <f t="shared" si="74"/>
        <v/>
      </c>
      <c r="U618" s="64" t="str">
        <f>IF(OR(ISBLANK(Trades!R618), ISBLANK(Trades!H618), ISBLANK(Trades!I618)), "", IF(Trades!H618=Trades!I618, "N/A", (Trades!R618-Trades!H618)/(Trades!H618-Trades!I618)))</f>
        <v/>
      </c>
      <c r="V618" s="65" t="str">
        <f t="shared" si="75"/>
        <v/>
      </c>
      <c r="W618" s="66" t="str">
        <f t="shared" si="76"/>
        <v/>
      </c>
      <c r="X618" s="62" t="str">
        <f t="shared" si="77"/>
        <v/>
      </c>
      <c r="Y618" s="45"/>
      <c r="Z618" s="44"/>
      <c r="AA618" s="41"/>
      <c r="AB618" s="39"/>
      <c r="AC618" s="37" t="str">
        <f t="shared" si="78"/>
        <v/>
      </c>
    </row>
    <row r="619" spans="2:29" x14ac:dyDescent="0.25">
      <c r="B619" s="54">
        <v>613</v>
      </c>
      <c r="C619" s="168"/>
      <c r="D619" s="51"/>
      <c r="E619" s="29"/>
      <c r="F619" s="48"/>
      <c r="G619" s="29"/>
      <c r="H619" s="187"/>
      <c r="I619" s="187"/>
      <c r="J619" s="195"/>
      <c r="K619" s="86" t="str">
        <f t="shared" si="72"/>
        <v/>
      </c>
      <c r="L619" s="57" t="str">
        <f t="shared" si="79"/>
        <v/>
      </c>
      <c r="M619" s="186"/>
      <c r="N619" s="189"/>
      <c r="O619" s="190"/>
      <c r="P619" s="190" t="str">
        <f>IF(OR(ISBLANK(V619),COUNTBLANK(V619:$V$1048576)=ROWS(V619:$V$1048576)),"",$R$2*(1+SUM(V$7:V619)))</f>
        <v/>
      </c>
      <c r="Q619" s="191"/>
      <c r="R619" s="189"/>
      <c r="S619" s="53" t="str">
        <f t="shared" si="73"/>
        <v/>
      </c>
      <c r="T619" s="63" t="str">
        <f t="shared" si="74"/>
        <v/>
      </c>
      <c r="U619" s="64" t="str">
        <f>IF(OR(ISBLANK(Trades!R619), ISBLANK(Trades!H619), ISBLANK(Trades!I619)), "", IF(Trades!H619=Trades!I619, "N/A", (Trades!R619-Trades!H619)/(Trades!H619-Trades!I619)))</f>
        <v/>
      </c>
      <c r="V619" s="65" t="str">
        <f t="shared" si="75"/>
        <v/>
      </c>
      <c r="W619" s="66" t="str">
        <f t="shared" si="76"/>
        <v/>
      </c>
      <c r="X619" s="62" t="str">
        <f t="shared" si="77"/>
        <v/>
      </c>
      <c r="Y619" s="45"/>
      <c r="Z619" s="44"/>
      <c r="AA619" s="41"/>
      <c r="AB619" s="39"/>
      <c r="AC619" s="37" t="str">
        <f t="shared" si="78"/>
        <v/>
      </c>
    </row>
    <row r="620" spans="2:29" x14ac:dyDescent="0.25">
      <c r="B620" s="54">
        <v>614</v>
      </c>
      <c r="C620" s="168"/>
      <c r="D620" s="51"/>
      <c r="E620" s="29"/>
      <c r="F620" s="48"/>
      <c r="G620" s="29"/>
      <c r="H620" s="187"/>
      <c r="I620" s="187"/>
      <c r="J620" s="195"/>
      <c r="K620" s="86" t="str">
        <f t="shared" si="72"/>
        <v/>
      </c>
      <c r="L620" s="57" t="str">
        <f t="shared" si="79"/>
        <v/>
      </c>
      <c r="M620" s="186"/>
      <c r="N620" s="189"/>
      <c r="O620" s="190"/>
      <c r="P620" s="190" t="str">
        <f>IF(OR(ISBLANK(V620),COUNTBLANK(V620:$V$1048576)=ROWS(V620:$V$1048576)),"",$R$2*(1+SUM(V$7:V620)))</f>
        <v/>
      </c>
      <c r="Q620" s="191"/>
      <c r="R620" s="189"/>
      <c r="S620" s="53" t="str">
        <f t="shared" si="73"/>
        <v/>
      </c>
      <c r="T620" s="63" t="str">
        <f t="shared" si="74"/>
        <v/>
      </c>
      <c r="U620" s="64" t="str">
        <f>IF(OR(ISBLANK(Trades!R620), ISBLANK(Trades!H620), ISBLANK(Trades!I620)), "", IF(Trades!H620=Trades!I620, "N/A", (Trades!R620-Trades!H620)/(Trades!H620-Trades!I620)))</f>
        <v/>
      </c>
      <c r="V620" s="65" t="str">
        <f t="shared" si="75"/>
        <v/>
      </c>
      <c r="W620" s="66" t="str">
        <f t="shared" si="76"/>
        <v/>
      </c>
      <c r="X620" s="62" t="str">
        <f t="shared" si="77"/>
        <v/>
      </c>
      <c r="Y620" s="45"/>
      <c r="Z620" s="44"/>
      <c r="AA620" s="41"/>
      <c r="AB620" s="39"/>
      <c r="AC620" s="37" t="str">
        <f t="shared" si="78"/>
        <v/>
      </c>
    </row>
    <row r="621" spans="2:29" x14ac:dyDescent="0.25">
      <c r="B621" s="54">
        <v>615</v>
      </c>
      <c r="C621" s="168"/>
      <c r="D621" s="51"/>
      <c r="E621" s="29"/>
      <c r="F621" s="48"/>
      <c r="G621" s="29"/>
      <c r="H621" s="187"/>
      <c r="I621" s="187"/>
      <c r="J621" s="195"/>
      <c r="K621" s="86" t="str">
        <f t="shared" si="72"/>
        <v/>
      </c>
      <c r="L621" s="57" t="str">
        <f t="shared" si="79"/>
        <v/>
      </c>
      <c r="M621" s="186"/>
      <c r="N621" s="189"/>
      <c r="O621" s="190"/>
      <c r="P621" s="190" t="str">
        <f>IF(OR(ISBLANK(V621),COUNTBLANK(V621:$V$1048576)=ROWS(V621:$V$1048576)),"",$R$2*(1+SUM(V$7:V621)))</f>
        <v/>
      </c>
      <c r="Q621" s="191"/>
      <c r="R621" s="189"/>
      <c r="S621" s="53" t="str">
        <f t="shared" si="73"/>
        <v/>
      </c>
      <c r="T621" s="63" t="str">
        <f t="shared" si="74"/>
        <v/>
      </c>
      <c r="U621" s="64" t="str">
        <f>IF(OR(ISBLANK(Trades!R621), ISBLANK(Trades!H621), ISBLANK(Trades!I621)), "", IF(Trades!H621=Trades!I621, "N/A", (Trades!R621-Trades!H621)/(Trades!H621-Trades!I621)))</f>
        <v/>
      </c>
      <c r="V621" s="65" t="str">
        <f t="shared" si="75"/>
        <v/>
      </c>
      <c r="W621" s="66" t="str">
        <f t="shared" si="76"/>
        <v/>
      </c>
      <c r="X621" s="62" t="str">
        <f t="shared" si="77"/>
        <v/>
      </c>
      <c r="Y621" s="45"/>
      <c r="Z621" s="44"/>
      <c r="AA621" s="41"/>
      <c r="AB621" s="39"/>
      <c r="AC621" s="37" t="str">
        <f t="shared" si="78"/>
        <v/>
      </c>
    </row>
    <row r="622" spans="2:29" x14ac:dyDescent="0.25">
      <c r="B622" s="54">
        <v>616</v>
      </c>
      <c r="C622" s="168"/>
      <c r="D622" s="51"/>
      <c r="E622" s="29"/>
      <c r="F622" s="48"/>
      <c r="G622" s="29"/>
      <c r="H622" s="187"/>
      <c r="I622" s="187"/>
      <c r="J622" s="195"/>
      <c r="K622" s="86" t="str">
        <f t="shared" si="72"/>
        <v/>
      </c>
      <c r="L622" s="57" t="str">
        <f t="shared" si="79"/>
        <v/>
      </c>
      <c r="M622" s="186"/>
      <c r="N622" s="189"/>
      <c r="O622" s="190"/>
      <c r="P622" s="190" t="str">
        <f>IF(OR(ISBLANK(V622),COUNTBLANK(V622:$V$1048576)=ROWS(V622:$V$1048576)),"",$R$2*(1+SUM(V$7:V622)))</f>
        <v/>
      </c>
      <c r="Q622" s="191"/>
      <c r="R622" s="189"/>
      <c r="S622" s="53" t="str">
        <f t="shared" si="73"/>
        <v/>
      </c>
      <c r="T622" s="63" t="str">
        <f t="shared" si="74"/>
        <v/>
      </c>
      <c r="U622" s="64" t="str">
        <f>IF(OR(ISBLANK(Trades!R622), ISBLANK(Trades!H622), ISBLANK(Trades!I622)), "", IF(Trades!H622=Trades!I622, "N/A", (Trades!R622-Trades!H622)/(Trades!H622-Trades!I622)))</f>
        <v/>
      </c>
      <c r="V622" s="65" t="str">
        <f t="shared" si="75"/>
        <v/>
      </c>
      <c r="W622" s="66" t="str">
        <f t="shared" si="76"/>
        <v/>
      </c>
      <c r="X622" s="62" t="str">
        <f t="shared" si="77"/>
        <v/>
      </c>
      <c r="Y622" s="45"/>
      <c r="Z622" s="44"/>
      <c r="AA622" s="41"/>
      <c r="AB622" s="39"/>
      <c r="AC622" s="37" t="str">
        <f t="shared" si="78"/>
        <v/>
      </c>
    </row>
    <row r="623" spans="2:29" x14ac:dyDescent="0.25">
      <c r="B623" s="54">
        <v>617</v>
      </c>
      <c r="C623" s="168"/>
      <c r="D623" s="51"/>
      <c r="E623" s="29"/>
      <c r="F623" s="48"/>
      <c r="G623" s="29"/>
      <c r="H623" s="187"/>
      <c r="I623" s="187"/>
      <c r="J623" s="195"/>
      <c r="K623" s="86" t="str">
        <f t="shared" si="72"/>
        <v/>
      </c>
      <c r="L623" s="57" t="str">
        <f t="shared" si="79"/>
        <v/>
      </c>
      <c r="M623" s="186"/>
      <c r="N623" s="189"/>
      <c r="O623" s="190"/>
      <c r="P623" s="190" t="str">
        <f>IF(OR(ISBLANK(V623),COUNTBLANK(V623:$V$1048576)=ROWS(V623:$V$1048576)),"",$R$2*(1+SUM(V$7:V623)))</f>
        <v/>
      </c>
      <c r="Q623" s="191"/>
      <c r="R623" s="189"/>
      <c r="S623" s="53" t="str">
        <f t="shared" si="73"/>
        <v/>
      </c>
      <c r="T623" s="63" t="str">
        <f t="shared" si="74"/>
        <v/>
      </c>
      <c r="U623" s="64" t="str">
        <f>IF(OR(ISBLANK(Trades!R623), ISBLANK(Trades!H623), ISBLANK(Trades!I623)), "", IF(Trades!H623=Trades!I623, "N/A", (Trades!R623-Trades!H623)/(Trades!H623-Trades!I623)))</f>
        <v/>
      </c>
      <c r="V623" s="65" t="str">
        <f t="shared" si="75"/>
        <v/>
      </c>
      <c r="W623" s="66" t="str">
        <f t="shared" si="76"/>
        <v/>
      </c>
      <c r="X623" s="62" t="str">
        <f t="shared" si="77"/>
        <v/>
      </c>
      <c r="Y623" s="45"/>
      <c r="Z623" s="44"/>
      <c r="AA623" s="41"/>
      <c r="AB623" s="39"/>
      <c r="AC623" s="37" t="str">
        <f t="shared" si="78"/>
        <v/>
      </c>
    </row>
    <row r="624" spans="2:29" x14ac:dyDescent="0.25">
      <c r="B624" s="54">
        <v>618</v>
      </c>
      <c r="C624" s="168"/>
      <c r="D624" s="51"/>
      <c r="E624" s="29"/>
      <c r="F624" s="48"/>
      <c r="G624" s="29"/>
      <c r="H624" s="187"/>
      <c r="I624" s="187"/>
      <c r="J624" s="195"/>
      <c r="K624" s="86" t="str">
        <f t="shared" si="72"/>
        <v/>
      </c>
      <c r="L624" s="57" t="str">
        <f t="shared" si="79"/>
        <v/>
      </c>
      <c r="M624" s="186"/>
      <c r="N624" s="189"/>
      <c r="O624" s="190"/>
      <c r="P624" s="190" t="str">
        <f>IF(OR(ISBLANK(V624),COUNTBLANK(V624:$V$1048576)=ROWS(V624:$V$1048576)),"",$R$2*(1+SUM(V$7:V624)))</f>
        <v/>
      </c>
      <c r="Q624" s="191"/>
      <c r="R624" s="189"/>
      <c r="S624" s="53" t="str">
        <f t="shared" si="73"/>
        <v/>
      </c>
      <c r="T624" s="63" t="str">
        <f t="shared" si="74"/>
        <v/>
      </c>
      <c r="U624" s="64" t="str">
        <f>IF(OR(ISBLANK(Trades!R624), ISBLANK(Trades!H624), ISBLANK(Trades!I624)), "", IF(Trades!H624=Trades!I624, "N/A", (Trades!R624-Trades!H624)/(Trades!H624-Trades!I624)))</f>
        <v/>
      </c>
      <c r="V624" s="65" t="str">
        <f t="shared" si="75"/>
        <v/>
      </c>
      <c r="W624" s="66" t="str">
        <f t="shared" si="76"/>
        <v/>
      </c>
      <c r="X624" s="62" t="str">
        <f t="shared" si="77"/>
        <v/>
      </c>
      <c r="Y624" s="45"/>
      <c r="Z624" s="44"/>
      <c r="AA624" s="41"/>
      <c r="AB624" s="39"/>
      <c r="AC624" s="37" t="str">
        <f t="shared" si="78"/>
        <v/>
      </c>
    </row>
    <row r="625" spans="2:29" x14ac:dyDescent="0.25">
      <c r="B625" s="54">
        <v>619</v>
      </c>
      <c r="C625" s="168"/>
      <c r="D625" s="51"/>
      <c r="E625" s="29"/>
      <c r="F625" s="48"/>
      <c r="G625" s="29"/>
      <c r="H625" s="187"/>
      <c r="I625" s="187"/>
      <c r="J625" s="195"/>
      <c r="K625" s="86" t="str">
        <f t="shared" si="72"/>
        <v/>
      </c>
      <c r="L625" s="57" t="str">
        <f t="shared" si="79"/>
        <v/>
      </c>
      <c r="M625" s="186"/>
      <c r="N625" s="189"/>
      <c r="O625" s="190"/>
      <c r="P625" s="190" t="str">
        <f>IF(OR(ISBLANK(V625),COUNTBLANK(V625:$V$1048576)=ROWS(V625:$V$1048576)),"",$R$2*(1+SUM(V$7:V625)))</f>
        <v/>
      </c>
      <c r="Q625" s="191"/>
      <c r="R625" s="189"/>
      <c r="S625" s="53" t="str">
        <f t="shared" si="73"/>
        <v/>
      </c>
      <c r="T625" s="63" t="str">
        <f t="shared" si="74"/>
        <v/>
      </c>
      <c r="U625" s="64" t="str">
        <f>IF(OR(ISBLANK(Trades!R625), ISBLANK(Trades!H625), ISBLANK(Trades!I625)), "", IF(Trades!H625=Trades!I625, "N/A", (Trades!R625-Trades!H625)/(Trades!H625-Trades!I625)))</f>
        <v/>
      </c>
      <c r="V625" s="65" t="str">
        <f t="shared" si="75"/>
        <v/>
      </c>
      <c r="W625" s="66" t="str">
        <f t="shared" si="76"/>
        <v/>
      </c>
      <c r="X625" s="62" t="str">
        <f t="shared" si="77"/>
        <v/>
      </c>
      <c r="Y625" s="45"/>
      <c r="Z625" s="44"/>
      <c r="AA625" s="41"/>
      <c r="AB625" s="39"/>
      <c r="AC625" s="37" t="str">
        <f t="shared" si="78"/>
        <v/>
      </c>
    </row>
    <row r="626" spans="2:29" x14ac:dyDescent="0.25">
      <c r="B626" s="54">
        <v>620</v>
      </c>
      <c r="C626" s="168"/>
      <c r="D626" s="51"/>
      <c r="E626" s="29"/>
      <c r="F626" s="48"/>
      <c r="G626" s="29"/>
      <c r="H626" s="187"/>
      <c r="I626" s="187"/>
      <c r="J626" s="195"/>
      <c r="K626" s="86" t="str">
        <f t="shared" si="72"/>
        <v/>
      </c>
      <c r="L626" s="57" t="str">
        <f t="shared" si="79"/>
        <v/>
      </c>
      <c r="M626" s="186"/>
      <c r="N626" s="189"/>
      <c r="O626" s="190"/>
      <c r="P626" s="190" t="str">
        <f>IF(OR(ISBLANK(V626),COUNTBLANK(V626:$V$1048576)=ROWS(V626:$V$1048576)),"",$R$2*(1+SUM(V$7:V626)))</f>
        <v/>
      </c>
      <c r="Q626" s="191"/>
      <c r="R626" s="189"/>
      <c r="S626" s="53" t="str">
        <f t="shared" si="73"/>
        <v/>
      </c>
      <c r="T626" s="63" t="str">
        <f t="shared" si="74"/>
        <v/>
      </c>
      <c r="U626" s="64" t="str">
        <f>IF(OR(ISBLANK(Trades!R626), ISBLANK(Trades!H626), ISBLANK(Trades!I626)), "", IF(Trades!H626=Trades!I626, "N/A", (Trades!R626-Trades!H626)/(Trades!H626-Trades!I626)))</f>
        <v/>
      </c>
      <c r="V626" s="65" t="str">
        <f t="shared" si="75"/>
        <v/>
      </c>
      <c r="W626" s="66" t="str">
        <f t="shared" si="76"/>
        <v/>
      </c>
      <c r="X626" s="62" t="str">
        <f t="shared" si="77"/>
        <v/>
      </c>
      <c r="Y626" s="45"/>
      <c r="Z626" s="44"/>
      <c r="AA626" s="41"/>
      <c r="AB626" s="39"/>
      <c r="AC626" s="37" t="str">
        <f t="shared" si="78"/>
        <v/>
      </c>
    </row>
    <row r="627" spans="2:29" x14ac:dyDescent="0.25">
      <c r="B627" s="54">
        <v>621</v>
      </c>
      <c r="C627" s="168"/>
      <c r="D627" s="51"/>
      <c r="E627" s="29"/>
      <c r="F627" s="48"/>
      <c r="G627" s="29"/>
      <c r="H627" s="187"/>
      <c r="I627" s="187"/>
      <c r="J627" s="195"/>
      <c r="K627" s="86" t="str">
        <f t="shared" si="72"/>
        <v/>
      </c>
      <c r="L627" s="57" t="str">
        <f t="shared" si="79"/>
        <v/>
      </c>
      <c r="M627" s="186"/>
      <c r="N627" s="189"/>
      <c r="O627" s="190"/>
      <c r="P627" s="190" t="str">
        <f>IF(OR(ISBLANK(V627),COUNTBLANK(V627:$V$1048576)=ROWS(V627:$V$1048576)),"",$R$2*(1+SUM(V$7:V627)))</f>
        <v/>
      </c>
      <c r="Q627" s="191"/>
      <c r="R627" s="189"/>
      <c r="S627" s="53" t="str">
        <f t="shared" si="73"/>
        <v/>
      </c>
      <c r="T627" s="63" t="str">
        <f t="shared" si="74"/>
        <v/>
      </c>
      <c r="U627" s="64" t="str">
        <f>IF(OR(ISBLANK(Trades!R627), ISBLANK(Trades!H627), ISBLANK(Trades!I627)), "", IF(Trades!H627=Trades!I627, "N/A", (Trades!R627-Trades!H627)/(Trades!H627-Trades!I627)))</f>
        <v/>
      </c>
      <c r="V627" s="65" t="str">
        <f t="shared" si="75"/>
        <v/>
      </c>
      <c r="W627" s="66" t="str">
        <f t="shared" si="76"/>
        <v/>
      </c>
      <c r="X627" s="62" t="str">
        <f t="shared" si="77"/>
        <v/>
      </c>
      <c r="Y627" s="45"/>
      <c r="Z627" s="44"/>
      <c r="AA627" s="41"/>
      <c r="AB627" s="39"/>
      <c r="AC627" s="37" t="str">
        <f t="shared" si="78"/>
        <v/>
      </c>
    </row>
    <row r="628" spans="2:29" x14ac:dyDescent="0.25">
      <c r="B628" s="54">
        <v>622</v>
      </c>
      <c r="C628" s="168"/>
      <c r="D628" s="51"/>
      <c r="E628" s="29"/>
      <c r="F628" s="48"/>
      <c r="G628" s="29"/>
      <c r="H628" s="187"/>
      <c r="I628" s="187"/>
      <c r="J628" s="195"/>
      <c r="K628" s="86" t="str">
        <f t="shared" si="72"/>
        <v/>
      </c>
      <c r="L628" s="57" t="str">
        <f t="shared" si="79"/>
        <v/>
      </c>
      <c r="M628" s="186"/>
      <c r="N628" s="189"/>
      <c r="O628" s="190"/>
      <c r="P628" s="190" t="str">
        <f>IF(OR(ISBLANK(V628),COUNTBLANK(V628:$V$1048576)=ROWS(V628:$V$1048576)),"",$R$2*(1+SUM(V$7:V628)))</f>
        <v/>
      </c>
      <c r="Q628" s="191"/>
      <c r="R628" s="189"/>
      <c r="S628" s="53" t="str">
        <f t="shared" si="73"/>
        <v/>
      </c>
      <c r="T628" s="63" t="str">
        <f t="shared" si="74"/>
        <v/>
      </c>
      <c r="U628" s="64" t="str">
        <f>IF(OR(ISBLANK(Trades!R628), ISBLANK(Trades!H628), ISBLANK(Trades!I628)), "", IF(Trades!H628=Trades!I628, "N/A", (Trades!R628-Trades!H628)/(Trades!H628-Trades!I628)))</f>
        <v/>
      </c>
      <c r="V628" s="65" t="str">
        <f t="shared" si="75"/>
        <v/>
      </c>
      <c r="W628" s="66" t="str">
        <f t="shared" si="76"/>
        <v/>
      </c>
      <c r="X628" s="62" t="str">
        <f t="shared" si="77"/>
        <v/>
      </c>
      <c r="Y628" s="45"/>
      <c r="Z628" s="44"/>
      <c r="AA628" s="41"/>
      <c r="AB628" s="39"/>
      <c r="AC628" s="37" t="str">
        <f t="shared" si="78"/>
        <v/>
      </c>
    </row>
    <row r="629" spans="2:29" x14ac:dyDescent="0.25">
      <c r="B629" s="54">
        <v>623</v>
      </c>
      <c r="C629" s="168"/>
      <c r="D629" s="51" t="s">
        <v>96</v>
      </c>
      <c r="E629" s="29" t="s">
        <v>56</v>
      </c>
      <c r="F629" s="48"/>
      <c r="G629" s="29"/>
      <c r="H629" s="187"/>
      <c r="I629" s="187"/>
      <c r="J629" s="195"/>
      <c r="K629" s="86" t="str">
        <f t="shared" si="72"/>
        <v/>
      </c>
      <c r="L629" s="57" t="str">
        <f t="shared" si="79"/>
        <v/>
      </c>
      <c r="M629" s="186"/>
      <c r="N629" s="189"/>
      <c r="O629" s="190"/>
      <c r="P629" s="190" t="str">
        <f>IF(OR(ISBLANK(V629),COUNTBLANK(V629:$V$1048576)=ROWS(V629:$V$1048576)),"",$R$2*(1+SUM(V$7:V629)))</f>
        <v/>
      </c>
      <c r="Q629" s="191"/>
      <c r="R629" s="189"/>
      <c r="S629" s="53" t="str">
        <f t="shared" si="73"/>
        <v/>
      </c>
      <c r="T629" s="63" t="str">
        <f t="shared" si="74"/>
        <v/>
      </c>
      <c r="U629" s="64" t="str">
        <f>IF(OR(ISBLANK(Trades!R629), ISBLANK(Trades!H629), ISBLANK(Trades!I629)), "", IF(Trades!H629=Trades!I629, "N/A", (Trades!R629-Trades!H629)/(Trades!H629-Trades!I629)))</f>
        <v/>
      </c>
      <c r="V629" s="65" t="str">
        <f t="shared" si="75"/>
        <v/>
      </c>
      <c r="W629" s="66" t="str">
        <f t="shared" si="76"/>
        <v/>
      </c>
      <c r="X629" s="62" t="str">
        <f t="shared" si="77"/>
        <v/>
      </c>
      <c r="Y629" s="45"/>
      <c r="Z629" s="44"/>
      <c r="AA629" s="41"/>
      <c r="AB629" s="39"/>
      <c r="AC629" s="37" t="str">
        <f t="shared" si="78"/>
        <v/>
      </c>
    </row>
    <row r="630" spans="2:29" x14ac:dyDescent="0.25">
      <c r="B630" s="54">
        <v>624</v>
      </c>
      <c r="C630" s="168"/>
      <c r="D630" s="51"/>
      <c r="E630" s="29"/>
      <c r="F630" s="48"/>
      <c r="G630" s="29"/>
      <c r="H630" s="187"/>
      <c r="I630" s="187"/>
      <c r="J630" s="195"/>
      <c r="K630" s="86" t="str">
        <f t="shared" si="72"/>
        <v/>
      </c>
      <c r="L630" s="57" t="str">
        <f t="shared" si="79"/>
        <v/>
      </c>
      <c r="M630" s="186"/>
      <c r="N630" s="189"/>
      <c r="O630" s="190"/>
      <c r="P630" s="190" t="str">
        <f>IF(OR(ISBLANK(V630),COUNTBLANK(V630:$V$1048576)=ROWS(V630:$V$1048576)),"",$R$2*(1+SUM(V$7:V630)))</f>
        <v/>
      </c>
      <c r="Q630" s="191"/>
      <c r="R630" s="189"/>
      <c r="S630" s="53" t="str">
        <f t="shared" si="73"/>
        <v/>
      </c>
      <c r="T630" s="63" t="str">
        <f t="shared" si="74"/>
        <v/>
      </c>
      <c r="U630" s="64" t="str">
        <f>IF(OR(ISBLANK(Trades!R630), ISBLANK(Trades!H630), ISBLANK(Trades!I630)), "", IF(Trades!H630=Trades!I630, "N/A", (Trades!R630-Trades!H630)/(Trades!H630-Trades!I630)))</f>
        <v/>
      </c>
      <c r="V630" s="65" t="str">
        <f t="shared" si="75"/>
        <v/>
      </c>
      <c r="W630" s="66" t="str">
        <f t="shared" si="76"/>
        <v/>
      </c>
      <c r="X630" s="62" t="str">
        <f t="shared" si="77"/>
        <v/>
      </c>
      <c r="Y630" s="45"/>
      <c r="Z630" s="44"/>
      <c r="AA630" s="41"/>
      <c r="AB630" s="39"/>
      <c r="AC630" s="37" t="str">
        <f t="shared" si="78"/>
        <v/>
      </c>
    </row>
    <row r="631" spans="2:29" x14ac:dyDescent="0.25">
      <c r="B631" s="54">
        <v>625</v>
      </c>
      <c r="C631" s="168"/>
      <c r="D631" s="51"/>
      <c r="E631" s="29"/>
      <c r="F631" s="48"/>
      <c r="G631" s="29"/>
      <c r="H631" s="187"/>
      <c r="I631" s="187"/>
      <c r="J631" s="195"/>
      <c r="K631" s="86" t="str">
        <f t="shared" si="72"/>
        <v/>
      </c>
      <c r="L631" s="57" t="str">
        <f t="shared" si="79"/>
        <v/>
      </c>
      <c r="M631" s="186"/>
      <c r="N631" s="189"/>
      <c r="O631" s="190"/>
      <c r="P631" s="190" t="str">
        <f>IF(OR(ISBLANK(V631),COUNTBLANK(V631:$V$1048576)=ROWS(V631:$V$1048576)),"",$R$2*(1+SUM(V$7:V631)))</f>
        <v/>
      </c>
      <c r="Q631" s="191"/>
      <c r="R631" s="189"/>
      <c r="S631" s="53" t="str">
        <f t="shared" si="73"/>
        <v/>
      </c>
      <c r="T631" s="63" t="str">
        <f t="shared" si="74"/>
        <v/>
      </c>
      <c r="U631" s="64" t="str">
        <f>IF(OR(ISBLANK(Trades!R631), ISBLANK(Trades!H631), ISBLANK(Trades!I631)), "", IF(Trades!H631=Trades!I631, "N/A", (Trades!R631-Trades!H631)/(Trades!H631-Trades!I631)))</f>
        <v/>
      </c>
      <c r="V631" s="65" t="str">
        <f t="shared" si="75"/>
        <v/>
      </c>
      <c r="W631" s="66" t="str">
        <f t="shared" si="76"/>
        <v/>
      </c>
      <c r="X631" s="62" t="str">
        <f t="shared" si="77"/>
        <v/>
      </c>
      <c r="Y631" s="45"/>
      <c r="Z631" s="44"/>
      <c r="AA631" s="41"/>
      <c r="AB631" s="39"/>
      <c r="AC631" s="37" t="str">
        <f t="shared" si="78"/>
        <v/>
      </c>
    </row>
    <row r="632" spans="2:29" x14ac:dyDescent="0.25">
      <c r="B632" s="54">
        <v>626</v>
      </c>
      <c r="C632" s="168"/>
      <c r="D632" s="51"/>
      <c r="E632" s="29"/>
      <c r="F632" s="48"/>
      <c r="G632" s="29"/>
      <c r="H632" s="187"/>
      <c r="I632" s="187"/>
      <c r="J632" s="195"/>
      <c r="K632" s="86" t="str">
        <f t="shared" si="72"/>
        <v/>
      </c>
      <c r="L632" s="57" t="str">
        <f t="shared" si="79"/>
        <v/>
      </c>
      <c r="M632" s="186"/>
      <c r="N632" s="189"/>
      <c r="O632" s="190"/>
      <c r="P632" s="190" t="str">
        <f>IF(OR(ISBLANK(V632),COUNTBLANK(V632:$V$1048576)=ROWS(V632:$V$1048576)),"",$R$2*(1+SUM(V$7:V632)))</f>
        <v/>
      </c>
      <c r="Q632" s="191"/>
      <c r="R632" s="189"/>
      <c r="S632" s="53" t="str">
        <f t="shared" si="73"/>
        <v/>
      </c>
      <c r="T632" s="63" t="str">
        <f t="shared" si="74"/>
        <v/>
      </c>
      <c r="U632" s="64" t="str">
        <f>IF(OR(ISBLANK(Trades!R632), ISBLANK(Trades!H632), ISBLANK(Trades!I632)), "", IF(Trades!H632=Trades!I632, "N/A", (Trades!R632-Trades!H632)/(Trades!H632-Trades!I632)))</f>
        <v/>
      </c>
      <c r="V632" s="65" t="str">
        <f t="shared" si="75"/>
        <v/>
      </c>
      <c r="W632" s="66" t="str">
        <f t="shared" si="76"/>
        <v/>
      </c>
      <c r="X632" s="62" t="str">
        <f t="shared" si="77"/>
        <v/>
      </c>
      <c r="Y632" s="45"/>
      <c r="Z632" s="44"/>
      <c r="AA632" s="41"/>
      <c r="AB632" s="39"/>
      <c r="AC632" s="37" t="str">
        <f t="shared" si="78"/>
        <v/>
      </c>
    </row>
    <row r="633" spans="2:29" x14ac:dyDescent="0.25">
      <c r="B633" s="54">
        <v>627</v>
      </c>
      <c r="C633" s="168"/>
      <c r="D633" s="51"/>
      <c r="E633" s="29"/>
      <c r="F633" s="48"/>
      <c r="G633" s="29"/>
      <c r="H633" s="187"/>
      <c r="I633" s="187"/>
      <c r="J633" s="195"/>
      <c r="K633" s="86" t="str">
        <f t="shared" si="72"/>
        <v/>
      </c>
      <c r="L633" s="57" t="str">
        <f t="shared" si="79"/>
        <v/>
      </c>
      <c r="M633" s="186"/>
      <c r="N633" s="189"/>
      <c r="O633" s="190"/>
      <c r="P633" s="190" t="str">
        <f>IF(OR(ISBLANK(V633),COUNTBLANK(V633:$V$1048576)=ROWS(V633:$V$1048576)),"",$R$2*(1+SUM(V$7:V633)))</f>
        <v/>
      </c>
      <c r="Q633" s="191"/>
      <c r="R633" s="189"/>
      <c r="S633" s="53" t="str">
        <f t="shared" si="73"/>
        <v/>
      </c>
      <c r="T633" s="63" t="str">
        <f t="shared" si="74"/>
        <v/>
      </c>
      <c r="U633" s="64" t="str">
        <f>IF(OR(ISBLANK(Trades!R633), ISBLANK(Trades!H633), ISBLANK(Trades!I633)), "", IF(Trades!H633=Trades!I633, "N/A", (Trades!R633-Trades!H633)/(Trades!H633-Trades!I633)))</f>
        <v/>
      </c>
      <c r="V633" s="65" t="str">
        <f t="shared" si="75"/>
        <v/>
      </c>
      <c r="W633" s="66" t="str">
        <f t="shared" si="76"/>
        <v/>
      </c>
      <c r="X633" s="62" t="str">
        <f t="shared" si="77"/>
        <v/>
      </c>
      <c r="Y633" s="45"/>
      <c r="Z633" s="44"/>
      <c r="AA633" s="41"/>
      <c r="AB633" s="39"/>
      <c r="AC633" s="37" t="str">
        <f t="shared" si="78"/>
        <v/>
      </c>
    </row>
    <row r="634" spans="2:29" x14ac:dyDescent="0.25">
      <c r="B634" s="54">
        <v>628</v>
      </c>
      <c r="C634" s="168"/>
      <c r="D634" s="51"/>
      <c r="E634" s="29"/>
      <c r="F634" s="48"/>
      <c r="G634" s="29"/>
      <c r="H634" s="187"/>
      <c r="I634" s="187"/>
      <c r="J634" s="195"/>
      <c r="K634" s="86" t="str">
        <f t="shared" si="72"/>
        <v/>
      </c>
      <c r="L634" s="57" t="str">
        <f t="shared" si="79"/>
        <v/>
      </c>
      <c r="M634" s="186"/>
      <c r="N634" s="189"/>
      <c r="O634" s="190"/>
      <c r="P634" s="190" t="str">
        <f>IF(OR(ISBLANK(V634),COUNTBLANK(V634:$V$1048576)=ROWS(V634:$V$1048576)),"",$R$2*(1+SUM(V$7:V634)))</f>
        <v/>
      </c>
      <c r="Q634" s="191"/>
      <c r="R634" s="189"/>
      <c r="S634" s="53" t="str">
        <f t="shared" si="73"/>
        <v/>
      </c>
      <c r="T634" s="63" t="str">
        <f t="shared" si="74"/>
        <v/>
      </c>
      <c r="U634" s="64" t="str">
        <f>IF(OR(ISBLANK(Trades!R634), ISBLANK(Trades!H634), ISBLANK(Trades!I634)), "", IF(Trades!H634=Trades!I634, "N/A", (Trades!R634-Trades!H634)/(Trades!H634-Trades!I634)))</f>
        <v/>
      </c>
      <c r="V634" s="65" t="str">
        <f t="shared" si="75"/>
        <v/>
      </c>
      <c r="W634" s="66" t="str">
        <f t="shared" si="76"/>
        <v/>
      </c>
      <c r="X634" s="62" t="str">
        <f t="shared" si="77"/>
        <v/>
      </c>
      <c r="Y634" s="45"/>
      <c r="Z634" s="44"/>
      <c r="AA634" s="41"/>
      <c r="AB634" s="39"/>
      <c r="AC634" s="37" t="str">
        <f t="shared" si="78"/>
        <v/>
      </c>
    </row>
    <row r="635" spans="2:29" x14ac:dyDescent="0.25">
      <c r="B635" s="54">
        <v>629</v>
      </c>
      <c r="C635" s="168"/>
      <c r="D635" s="51"/>
      <c r="E635" s="29"/>
      <c r="F635" s="48"/>
      <c r="G635" s="29"/>
      <c r="H635" s="187"/>
      <c r="I635" s="187"/>
      <c r="J635" s="195"/>
      <c r="K635" s="86" t="str">
        <f t="shared" si="72"/>
        <v/>
      </c>
      <c r="L635" s="57" t="str">
        <f t="shared" si="79"/>
        <v/>
      </c>
      <c r="M635" s="186"/>
      <c r="N635" s="189"/>
      <c r="O635" s="190"/>
      <c r="P635" s="190" t="str">
        <f>IF(OR(ISBLANK(V635),COUNTBLANK(V635:$V$1048576)=ROWS(V635:$V$1048576)),"",$R$2*(1+SUM(V$7:V635)))</f>
        <v/>
      </c>
      <c r="Q635" s="191"/>
      <c r="R635" s="189"/>
      <c r="S635" s="53" t="str">
        <f t="shared" si="73"/>
        <v/>
      </c>
      <c r="T635" s="63" t="str">
        <f t="shared" si="74"/>
        <v/>
      </c>
      <c r="U635" s="64" t="str">
        <f>IF(OR(ISBLANK(Trades!R635), ISBLANK(Trades!H635), ISBLANK(Trades!I635)), "", IF(Trades!H635=Trades!I635, "N/A", (Trades!R635-Trades!H635)/(Trades!H635-Trades!I635)))</f>
        <v/>
      </c>
      <c r="V635" s="65" t="str">
        <f t="shared" si="75"/>
        <v/>
      </c>
      <c r="W635" s="66" t="str">
        <f t="shared" si="76"/>
        <v/>
      </c>
      <c r="X635" s="62" t="str">
        <f t="shared" si="77"/>
        <v/>
      </c>
      <c r="Y635" s="45"/>
      <c r="Z635" s="44"/>
      <c r="AA635" s="41"/>
      <c r="AB635" s="39"/>
      <c r="AC635" s="37" t="str">
        <f t="shared" si="78"/>
        <v/>
      </c>
    </row>
    <row r="636" spans="2:29" x14ac:dyDescent="0.25">
      <c r="B636" s="54">
        <v>630</v>
      </c>
      <c r="C636" s="168"/>
      <c r="D636" s="51"/>
      <c r="E636" s="29"/>
      <c r="F636" s="48"/>
      <c r="G636" s="29"/>
      <c r="H636" s="187"/>
      <c r="I636" s="187"/>
      <c r="J636" s="195"/>
      <c r="K636" s="86" t="str">
        <f t="shared" si="72"/>
        <v/>
      </c>
      <c r="L636" s="57" t="str">
        <f t="shared" si="79"/>
        <v/>
      </c>
      <c r="M636" s="186"/>
      <c r="N636" s="189"/>
      <c r="O636" s="190"/>
      <c r="P636" s="190" t="str">
        <f>IF(OR(ISBLANK(V636),COUNTBLANK(V636:$V$1048576)=ROWS(V636:$V$1048576)),"",$R$2*(1+SUM(V$7:V636)))</f>
        <v/>
      </c>
      <c r="Q636" s="191"/>
      <c r="R636" s="189"/>
      <c r="S636" s="53" t="str">
        <f t="shared" si="73"/>
        <v/>
      </c>
      <c r="T636" s="63" t="str">
        <f t="shared" si="74"/>
        <v/>
      </c>
      <c r="U636" s="64" t="str">
        <f>IF(OR(ISBLANK(Trades!R636), ISBLANK(Trades!H636), ISBLANK(Trades!I636)), "", IF(Trades!H636=Trades!I636, "N/A", (Trades!R636-Trades!H636)/(Trades!H636-Trades!I636)))</f>
        <v/>
      </c>
      <c r="V636" s="65" t="str">
        <f t="shared" si="75"/>
        <v/>
      </c>
      <c r="W636" s="66" t="str">
        <f t="shared" si="76"/>
        <v/>
      </c>
      <c r="X636" s="62" t="str">
        <f t="shared" si="77"/>
        <v/>
      </c>
      <c r="Y636" s="45"/>
      <c r="Z636" s="44"/>
      <c r="AA636" s="41"/>
      <c r="AB636" s="39"/>
      <c r="AC636" s="37" t="str">
        <f t="shared" si="78"/>
        <v/>
      </c>
    </row>
    <row r="637" spans="2:29" x14ac:dyDescent="0.25">
      <c r="B637" s="54">
        <v>631</v>
      </c>
      <c r="C637" s="168"/>
      <c r="D637" s="51"/>
      <c r="E637" s="29"/>
      <c r="F637" s="48"/>
      <c r="G637" s="29"/>
      <c r="H637" s="187"/>
      <c r="I637" s="187"/>
      <c r="J637" s="195"/>
      <c r="K637" s="86" t="str">
        <f t="shared" si="72"/>
        <v/>
      </c>
      <c r="L637" s="57" t="str">
        <f t="shared" si="79"/>
        <v/>
      </c>
      <c r="M637" s="186"/>
      <c r="N637" s="189"/>
      <c r="O637" s="190"/>
      <c r="P637" s="190" t="str">
        <f>IF(OR(ISBLANK(V637),COUNTBLANK(V637:$V$1048576)=ROWS(V637:$V$1048576)),"",$R$2*(1+SUM(V$7:V637)))</f>
        <v/>
      </c>
      <c r="Q637" s="191"/>
      <c r="R637" s="189"/>
      <c r="S637" s="53" t="str">
        <f t="shared" si="73"/>
        <v/>
      </c>
      <c r="T637" s="63" t="str">
        <f t="shared" si="74"/>
        <v/>
      </c>
      <c r="U637" s="64" t="str">
        <f>IF(OR(ISBLANK(Trades!R637), ISBLANK(Trades!H637), ISBLANK(Trades!I637)), "", IF(Trades!H637=Trades!I637, "N/A", (Trades!R637-Trades!H637)/(Trades!H637-Trades!I637)))</f>
        <v/>
      </c>
      <c r="V637" s="65" t="str">
        <f t="shared" si="75"/>
        <v/>
      </c>
      <c r="W637" s="66" t="str">
        <f t="shared" si="76"/>
        <v/>
      </c>
      <c r="X637" s="62" t="str">
        <f t="shared" si="77"/>
        <v/>
      </c>
      <c r="Y637" s="45"/>
      <c r="Z637" s="44"/>
      <c r="AA637" s="41"/>
      <c r="AB637" s="39"/>
      <c r="AC637" s="37" t="str">
        <f t="shared" si="78"/>
        <v/>
      </c>
    </row>
    <row r="638" spans="2:29" x14ac:dyDescent="0.25">
      <c r="B638" s="54">
        <v>632</v>
      </c>
      <c r="C638" s="168"/>
      <c r="D638" s="51"/>
      <c r="E638" s="29"/>
      <c r="F638" s="48"/>
      <c r="G638" s="29"/>
      <c r="H638" s="187"/>
      <c r="I638" s="187"/>
      <c r="J638" s="195"/>
      <c r="K638" s="86" t="str">
        <f t="shared" si="72"/>
        <v/>
      </c>
      <c r="L638" s="57" t="str">
        <f t="shared" si="79"/>
        <v/>
      </c>
      <c r="M638" s="186"/>
      <c r="N638" s="189"/>
      <c r="O638" s="190"/>
      <c r="P638" s="190" t="str">
        <f>IF(OR(ISBLANK(V638),COUNTBLANK(V638:$V$1048576)=ROWS(V638:$V$1048576)),"",$R$2*(1+SUM(V$7:V638)))</f>
        <v/>
      </c>
      <c r="Q638" s="191"/>
      <c r="R638" s="189"/>
      <c r="S638" s="53" t="str">
        <f t="shared" si="73"/>
        <v/>
      </c>
      <c r="T638" s="63" t="str">
        <f t="shared" si="74"/>
        <v/>
      </c>
      <c r="U638" s="64" t="str">
        <f>IF(OR(ISBLANK(Trades!R638), ISBLANK(Trades!H638), ISBLANK(Trades!I638)), "", IF(Trades!H638=Trades!I638, "N/A", (Trades!R638-Trades!H638)/(Trades!H638-Trades!I638)))</f>
        <v/>
      </c>
      <c r="V638" s="65" t="str">
        <f t="shared" si="75"/>
        <v/>
      </c>
      <c r="W638" s="66" t="str">
        <f t="shared" si="76"/>
        <v/>
      </c>
      <c r="X638" s="62" t="str">
        <f t="shared" si="77"/>
        <v/>
      </c>
      <c r="Y638" s="45"/>
      <c r="Z638" s="44"/>
      <c r="AA638" s="41"/>
      <c r="AB638" s="39"/>
      <c r="AC638" s="37" t="str">
        <f t="shared" si="78"/>
        <v/>
      </c>
    </row>
    <row r="639" spans="2:29" x14ac:dyDescent="0.25">
      <c r="B639" s="54">
        <v>633</v>
      </c>
      <c r="C639" s="168"/>
      <c r="D639" s="51"/>
      <c r="E639" s="29"/>
      <c r="F639" s="48"/>
      <c r="G639" s="29"/>
      <c r="H639" s="187"/>
      <c r="I639" s="187"/>
      <c r="J639" s="195"/>
      <c r="K639" s="86" t="str">
        <f t="shared" si="72"/>
        <v/>
      </c>
      <c r="L639" s="57" t="str">
        <f t="shared" si="79"/>
        <v/>
      </c>
      <c r="M639" s="186"/>
      <c r="N639" s="189"/>
      <c r="O639" s="190"/>
      <c r="P639" s="190" t="str">
        <f>IF(OR(ISBLANK(V639),COUNTBLANK(V639:$V$1048576)=ROWS(V639:$V$1048576)),"",$R$2*(1+SUM(V$7:V639)))</f>
        <v/>
      </c>
      <c r="Q639" s="191"/>
      <c r="R639" s="189"/>
      <c r="S639" s="53" t="str">
        <f t="shared" si="73"/>
        <v/>
      </c>
      <c r="T639" s="63" t="str">
        <f t="shared" si="74"/>
        <v/>
      </c>
      <c r="U639" s="64" t="str">
        <f>IF(OR(ISBLANK(Trades!R639), ISBLANK(Trades!H639), ISBLANK(Trades!I639)), "", IF(Trades!H639=Trades!I639, "N/A", (Trades!R639-Trades!H639)/(Trades!H639-Trades!I639)))</f>
        <v/>
      </c>
      <c r="V639" s="65" t="str">
        <f t="shared" si="75"/>
        <v/>
      </c>
      <c r="W639" s="66" t="str">
        <f t="shared" si="76"/>
        <v/>
      </c>
      <c r="X639" s="62" t="str">
        <f t="shared" si="77"/>
        <v/>
      </c>
      <c r="Y639" s="45"/>
      <c r="Z639" s="44"/>
      <c r="AA639" s="41"/>
      <c r="AB639" s="39"/>
      <c r="AC639" s="37" t="str">
        <f t="shared" si="78"/>
        <v/>
      </c>
    </row>
    <row r="640" spans="2:29" x14ac:dyDescent="0.25">
      <c r="B640" s="54">
        <v>634</v>
      </c>
      <c r="C640" s="168"/>
      <c r="D640" s="51"/>
      <c r="E640" s="29"/>
      <c r="F640" s="48"/>
      <c r="G640" s="29"/>
      <c r="H640" s="187"/>
      <c r="I640" s="187"/>
      <c r="J640" s="195"/>
      <c r="K640" s="86" t="str">
        <f t="shared" si="72"/>
        <v/>
      </c>
      <c r="L640" s="57" t="str">
        <f t="shared" si="79"/>
        <v/>
      </c>
      <c r="M640" s="186"/>
      <c r="N640" s="189"/>
      <c r="O640" s="190"/>
      <c r="P640" s="190" t="str">
        <f>IF(OR(ISBLANK(V640),COUNTBLANK(V640:$V$1048576)=ROWS(V640:$V$1048576)),"",$R$2*(1+SUM(V$7:V640)))</f>
        <v/>
      </c>
      <c r="Q640" s="191"/>
      <c r="R640" s="189"/>
      <c r="S640" s="53" t="str">
        <f t="shared" si="73"/>
        <v/>
      </c>
      <c r="T640" s="63" t="str">
        <f t="shared" si="74"/>
        <v/>
      </c>
      <c r="U640" s="64" t="str">
        <f>IF(OR(ISBLANK(Trades!R640), ISBLANK(Trades!H640), ISBLANK(Trades!I640)), "", IF(Trades!H640=Trades!I640, "N/A", (Trades!R640-Trades!H640)/(Trades!H640-Trades!I640)))</f>
        <v/>
      </c>
      <c r="V640" s="65" t="str">
        <f t="shared" si="75"/>
        <v/>
      </c>
      <c r="W640" s="66" t="str">
        <f t="shared" si="76"/>
        <v/>
      </c>
      <c r="X640" s="62" t="str">
        <f t="shared" si="77"/>
        <v/>
      </c>
      <c r="Y640" s="45"/>
      <c r="Z640" s="44"/>
      <c r="AA640" s="41"/>
      <c r="AB640" s="39"/>
      <c r="AC640" s="37" t="str">
        <f t="shared" si="78"/>
        <v/>
      </c>
    </row>
    <row r="641" spans="2:29" x14ac:dyDescent="0.25">
      <c r="B641" s="54">
        <v>635</v>
      </c>
      <c r="C641" s="168"/>
      <c r="D641" s="51"/>
      <c r="E641" s="29"/>
      <c r="F641" s="48"/>
      <c r="G641" s="29"/>
      <c r="H641" s="187"/>
      <c r="I641" s="187"/>
      <c r="J641" s="195"/>
      <c r="K641" s="86" t="str">
        <f t="shared" si="72"/>
        <v/>
      </c>
      <c r="L641" s="57" t="str">
        <f t="shared" si="79"/>
        <v/>
      </c>
      <c r="M641" s="186"/>
      <c r="N641" s="189"/>
      <c r="O641" s="190"/>
      <c r="P641" s="190" t="str">
        <f>IF(OR(ISBLANK(V641),COUNTBLANK(V641:$V$1048576)=ROWS(V641:$V$1048576)),"",$R$2*(1+SUM(V$7:V641)))</f>
        <v/>
      </c>
      <c r="Q641" s="191"/>
      <c r="R641" s="189"/>
      <c r="S641" s="53" t="str">
        <f t="shared" si="73"/>
        <v/>
      </c>
      <c r="T641" s="63" t="str">
        <f t="shared" si="74"/>
        <v/>
      </c>
      <c r="U641" s="64" t="str">
        <f>IF(OR(ISBLANK(Trades!R641), ISBLANK(Trades!H641), ISBLANK(Trades!I641)), "", IF(Trades!H641=Trades!I641, "N/A", (Trades!R641-Trades!H641)/(Trades!H641-Trades!I641)))</f>
        <v/>
      </c>
      <c r="V641" s="65" t="str">
        <f t="shared" si="75"/>
        <v/>
      </c>
      <c r="W641" s="66" t="str">
        <f t="shared" si="76"/>
        <v/>
      </c>
      <c r="X641" s="62" t="str">
        <f t="shared" si="77"/>
        <v/>
      </c>
      <c r="Y641" s="45"/>
      <c r="Z641" s="44"/>
      <c r="AA641" s="41"/>
      <c r="AB641" s="39"/>
      <c r="AC641" s="37" t="str">
        <f t="shared" si="78"/>
        <v/>
      </c>
    </row>
    <row r="642" spans="2:29" x14ac:dyDescent="0.25">
      <c r="B642" s="54">
        <v>636</v>
      </c>
      <c r="C642" s="168"/>
      <c r="D642" s="51"/>
      <c r="E642" s="29"/>
      <c r="F642" s="48"/>
      <c r="G642" s="29"/>
      <c r="H642" s="187"/>
      <c r="I642" s="187"/>
      <c r="J642" s="195"/>
      <c r="K642" s="86" t="str">
        <f t="shared" si="72"/>
        <v/>
      </c>
      <c r="L642" s="57" t="str">
        <f t="shared" si="79"/>
        <v/>
      </c>
      <c r="M642" s="186"/>
      <c r="N642" s="189"/>
      <c r="O642" s="190"/>
      <c r="P642" s="190" t="str">
        <f>IF(OR(ISBLANK(V642),COUNTBLANK(V642:$V$1048576)=ROWS(V642:$V$1048576)),"",$R$2*(1+SUM(V$7:V642)))</f>
        <v/>
      </c>
      <c r="Q642" s="191"/>
      <c r="R642" s="189"/>
      <c r="S642" s="53" t="str">
        <f t="shared" si="73"/>
        <v/>
      </c>
      <c r="T642" s="63" t="str">
        <f t="shared" si="74"/>
        <v/>
      </c>
      <c r="U642" s="64" t="str">
        <f>IF(OR(ISBLANK(Trades!R642), ISBLANK(Trades!H642), ISBLANK(Trades!I642)), "", IF(Trades!H642=Trades!I642, "N/A", (Trades!R642-Trades!H642)/(Trades!H642-Trades!I642)))</f>
        <v/>
      </c>
      <c r="V642" s="65" t="str">
        <f t="shared" si="75"/>
        <v/>
      </c>
      <c r="W642" s="66" t="str">
        <f t="shared" si="76"/>
        <v/>
      </c>
      <c r="X642" s="62" t="str">
        <f t="shared" si="77"/>
        <v/>
      </c>
      <c r="Y642" s="45"/>
      <c r="Z642" s="44"/>
      <c r="AA642" s="41"/>
      <c r="AB642" s="39"/>
      <c r="AC642" s="37" t="str">
        <f t="shared" si="78"/>
        <v/>
      </c>
    </row>
    <row r="643" spans="2:29" x14ac:dyDescent="0.25">
      <c r="B643" s="54">
        <v>637</v>
      </c>
      <c r="C643" s="168"/>
      <c r="D643" s="51"/>
      <c r="E643" s="29"/>
      <c r="F643" s="48"/>
      <c r="G643" s="29"/>
      <c r="H643" s="187"/>
      <c r="I643" s="187"/>
      <c r="J643" s="195"/>
      <c r="K643" s="86" t="str">
        <f t="shared" si="72"/>
        <v/>
      </c>
      <c r="L643" s="57" t="str">
        <f t="shared" si="79"/>
        <v/>
      </c>
      <c r="M643" s="186"/>
      <c r="N643" s="189"/>
      <c r="O643" s="190"/>
      <c r="P643" s="190" t="str">
        <f>IF(OR(ISBLANK(V643),COUNTBLANK(V643:$V$1048576)=ROWS(V643:$V$1048576)),"",$R$2*(1+SUM(V$7:V643)))</f>
        <v/>
      </c>
      <c r="Q643" s="191"/>
      <c r="R643" s="189"/>
      <c r="S643" s="53" t="str">
        <f t="shared" si="73"/>
        <v/>
      </c>
      <c r="T643" s="63" t="str">
        <f t="shared" si="74"/>
        <v/>
      </c>
      <c r="U643" s="64" t="str">
        <f>IF(OR(ISBLANK(Trades!R643), ISBLANK(Trades!H643), ISBLANK(Trades!I643)), "", IF(Trades!H643=Trades!I643, "N/A", (Trades!R643-Trades!H643)/(Trades!H643-Trades!I643)))</f>
        <v/>
      </c>
      <c r="V643" s="65" t="str">
        <f t="shared" si="75"/>
        <v/>
      </c>
      <c r="W643" s="66" t="str">
        <f t="shared" si="76"/>
        <v/>
      </c>
      <c r="X643" s="62" t="str">
        <f t="shared" si="77"/>
        <v/>
      </c>
      <c r="Y643" s="45"/>
      <c r="Z643" s="44"/>
      <c r="AA643" s="41"/>
      <c r="AB643" s="39"/>
      <c r="AC643" s="37" t="str">
        <f t="shared" si="78"/>
        <v/>
      </c>
    </row>
    <row r="644" spans="2:29" x14ac:dyDescent="0.25">
      <c r="B644" s="54">
        <v>638</v>
      </c>
      <c r="C644" s="168"/>
      <c r="D644" s="51"/>
      <c r="E644" s="29"/>
      <c r="F644" s="48"/>
      <c r="G644" s="29"/>
      <c r="H644" s="187"/>
      <c r="I644" s="187"/>
      <c r="J644" s="195"/>
      <c r="K644" s="86" t="str">
        <f t="shared" si="72"/>
        <v/>
      </c>
      <c r="L644" s="57" t="str">
        <f t="shared" si="79"/>
        <v/>
      </c>
      <c r="M644" s="186"/>
      <c r="N644" s="189"/>
      <c r="O644" s="190"/>
      <c r="P644" s="190" t="str">
        <f>IF(OR(ISBLANK(V644),COUNTBLANK(V644:$V$1048576)=ROWS(V644:$V$1048576)),"",$R$2*(1+SUM(V$7:V644)))</f>
        <v/>
      </c>
      <c r="Q644" s="191"/>
      <c r="R644" s="189"/>
      <c r="S644" s="53" t="str">
        <f t="shared" si="73"/>
        <v/>
      </c>
      <c r="T644" s="63" t="str">
        <f t="shared" si="74"/>
        <v/>
      </c>
      <c r="U644" s="64" t="str">
        <f>IF(OR(ISBLANK(Trades!R644), ISBLANK(Trades!H644), ISBLANK(Trades!I644)), "", IF(Trades!H644=Trades!I644, "N/A", (Trades!R644-Trades!H644)/(Trades!H644-Trades!I644)))</f>
        <v/>
      </c>
      <c r="V644" s="65" t="str">
        <f t="shared" si="75"/>
        <v/>
      </c>
      <c r="W644" s="66" t="str">
        <f t="shared" si="76"/>
        <v/>
      </c>
      <c r="X644" s="62" t="str">
        <f t="shared" si="77"/>
        <v/>
      </c>
      <c r="Y644" s="45"/>
      <c r="Z644" s="44"/>
      <c r="AA644" s="41"/>
      <c r="AB644" s="39"/>
      <c r="AC644" s="37" t="str">
        <f t="shared" si="78"/>
        <v/>
      </c>
    </row>
    <row r="645" spans="2:29" x14ac:dyDescent="0.25">
      <c r="B645" s="54">
        <v>639</v>
      </c>
      <c r="C645" s="168"/>
      <c r="D645" s="51"/>
      <c r="E645" s="29"/>
      <c r="F645" s="48"/>
      <c r="G645" s="29"/>
      <c r="H645" s="187"/>
      <c r="I645" s="187"/>
      <c r="J645" s="195"/>
      <c r="K645" s="86" t="str">
        <f t="shared" si="72"/>
        <v/>
      </c>
      <c r="L645" s="57" t="str">
        <f t="shared" si="79"/>
        <v/>
      </c>
      <c r="M645" s="186"/>
      <c r="N645" s="189"/>
      <c r="O645" s="190"/>
      <c r="P645" s="190" t="str">
        <f>IF(OR(ISBLANK(V645),COUNTBLANK(V645:$V$1048576)=ROWS(V645:$V$1048576)),"",$R$2*(1+SUM(V$7:V645)))</f>
        <v/>
      </c>
      <c r="Q645" s="191"/>
      <c r="R645" s="189"/>
      <c r="S645" s="53" t="str">
        <f t="shared" si="73"/>
        <v/>
      </c>
      <c r="T645" s="63" t="str">
        <f t="shared" si="74"/>
        <v/>
      </c>
      <c r="U645" s="64" t="str">
        <f>IF(OR(ISBLANK(Trades!R645), ISBLANK(Trades!H645), ISBLANK(Trades!I645)), "", IF(Trades!H645=Trades!I645, "N/A", (Trades!R645-Trades!H645)/(Trades!H645-Trades!I645)))</f>
        <v/>
      </c>
      <c r="V645" s="65" t="str">
        <f t="shared" si="75"/>
        <v/>
      </c>
      <c r="W645" s="66" t="str">
        <f t="shared" si="76"/>
        <v/>
      </c>
      <c r="X645" s="62" t="str">
        <f t="shared" si="77"/>
        <v/>
      </c>
      <c r="Y645" s="45"/>
      <c r="Z645" s="44"/>
      <c r="AA645" s="41"/>
      <c r="AB645" s="39"/>
      <c r="AC645" s="37" t="str">
        <f t="shared" si="78"/>
        <v/>
      </c>
    </row>
    <row r="646" spans="2:29" x14ac:dyDescent="0.25">
      <c r="B646" s="54">
        <v>640</v>
      </c>
      <c r="C646" s="168"/>
      <c r="D646" s="51"/>
      <c r="E646" s="29"/>
      <c r="F646" s="48"/>
      <c r="G646" s="29"/>
      <c r="H646" s="187"/>
      <c r="I646" s="187"/>
      <c r="J646" s="195"/>
      <c r="K646" s="86" t="str">
        <f t="shared" si="72"/>
        <v/>
      </c>
      <c r="L646" s="57" t="str">
        <f t="shared" si="79"/>
        <v/>
      </c>
      <c r="M646" s="186"/>
      <c r="N646" s="189"/>
      <c r="O646" s="190"/>
      <c r="P646" s="190" t="str">
        <f>IF(OR(ISBLANK(V646),COUNTBLANK(V646:$V$1048576)=ROWS(V646:$V$1048576)),"",$R$2*(1+SUM(V$7:V646)))</f>
        <v/>
      </c>
      <c r="Q646" s="191"/>
      <c r="R646" s="189"/>
      <c r="S646" s="53" t="str">
        <f t="shared" si="73"/>
        <v/>
      </c>
      <c r="T646" s="63" t="str">
        <f t="shared" si="74"/>
        <v/>
      </c>
      <c r="U646" s="64" t="str">
        <f>IF(OR(ISBLANK(Trades!R646), ISBLANK(Trades!H646), ISBLANK(Trades!I646)), "", IF(Trades!H646=Trades!I646, "N/A", (Trades!R646-Trades!H646)/(Trades!H646-Trades!I646)))</f>
        <v/>
      </c>
      <c r="V646" s="65" t="str">
        <f t="shared" si="75"/>
        <v/>
      </c>
      <c r="W646" s="66" t="str">
        <f t="shared" si="76"/>
        <v/>
      </c>
      <c r="X646" s="62" t="str">
        <f t="shared" si="77"/>
        <v/>
      </c>
      <c r="Y646" s="45"/>
      <c r="Z646" s="44"/>
      <c r="AA646" s="41"/>
      <c r="AB646" s="39"/>
      <c r="AC646" s="37" t="str">
        <f t="shared" si="78"/>
        <v/>
      </c>
    </row>
    <row r="647" spans="2:29" x14ac:dyDescent="0.25">
      <c r="B647" s="54">
        <v>641</v>
      </c>
      <c r="C647" s="168"/>
      <c r="D647" s="51"/>
      <c r="E647" s="29"/>
      <c r="F647" s="48"/>
      <c r="G647" s="29"/>
      <c r="H647" s="187"/>
      <c r="I647" s="187"/>
      <c r="J647" s="195"/>
      <c r="K647" s="86" t="str">
        <f t="shared" ref="K647:K710" si="80">IF(OR(ISBLANK(H647),ISBLANK(I647)),"",IF(H647 &lt; I647, "SHORT", IF(H647 &gt; I647, "LONG", "")))</f>
        <v/>
      </c>
      <c r="L647" s="57" t="str">
        <f t="shared" si="79"/>
        <v/>
      </c>
      <c r="M647" s="186"/>
      <c r="N647" s="189"/>
      <c r="O647" s="190"/>
      <c r="P647" s="190" t="str">
        <f>IF(OR(ISBLANK(V647),COUNTBLANK(V647:$V$1048576)=ROWS(V647:$V$1048576)),"",$R$2*(1+SUM(V$7:V647)))</f>
        <v/>
      </c>
      <c r="Q647" s="191"/>
      <c r="R647" s="189"/>
      <c r="S647" s="53" t="str">
        <f t="shared" ref="S647:S710" si="81">IF(COUNTIFS($C$7:$C$1000, "&lt;="&amp;C647, $X$7:$X$1000, "Win") = 0, "", IF(COUNTIFS($C$7:$C$1000, "&lt;="&amp;C647, $X$7:$X$1000, "&lt;&gt;"&amp;"") = 0, "", COUNTIFS($C$7:$C$1000, "&lt;="&amp;C647, $X$7:$X$1000, "Win")/COUNTIFS($C$7:$C$1000, "&lt;="&amp;C647, $X$7:$X$1000, "&lt;&gt;"&amp;"")))</f>
        <v/>
      </c>
      <c r="T647" s="63" t="str">
        <f t="shared" ref="T647:T710" si="82">IF(ISBLANK(R647),IF(ISBLANK(H647),"","Open"),"Closed")</f>
        <v/>
      </c>
      <c r="U647" s="64" t="str">
        <f>IF(OR(ISBLANK(Trades!R647), ISBLANK(Trades!H647), ISBLANK(Trades!I647)), "", IF(Trades!H647=Trades!I647, "N/A", (Trades!R647-Trades!H647)/(Trades!H647-Trades!I647)))</f>
        <v/>
      </c>
      <c r="V647" s="65" t="str">
        <f t="shared" ref="V647:V710" si="83">IF(U647="","",U647*F647)</f>
        <v/>
      </c>
      <c r="W647" s="66" t="str">
        <f t="shared" ref="W647:W710" si="84">IF(ISBLANK(R647),"",IF(H647&gt;I647,IF(I647&gt;=R647,"SL Hit",IF(O647&lt;&gt;"","PT3 Hit",IF(N647&lt;&gt;"","PT2 Hit",IF(M647&lt;&gt;"","PT1 Hit","")))),IF(I647&lt;=R647,"SL Hit",IF(O647&lt;&gt;"","PT3 Hit",IF(N647&lt;&gt;"","PT2 Hit",IF(M647&lt;&gt;"","PT1 Hit",""))))))</f>
        <v/>
      </c>
      <c r="X647" s="62" t="str">
        <f t="shared" ref="X647:X710" si="85">IF(ISBLANK(R647),"",IF(H647&gt;I647, IF(R647&gt;=H647, "Win", "Loss"), IF(R647&lt;=H647, "Win", "Loss")))</f>
        <v/>
      </c>
      <c r="Y647" s="45"/>
      <c r="Z647" s="44"/>
      <c r="AA647" s="41"/>
      <c r="AB647" s="39"/>
      <c r="AC647" s="37" t="str">
        <f t="shared" ref="AC647:AC710" si="86">IFERROR(COUNTIFS($C$7:$C$1000,"&gt;="&amp;DATE(YEAR(C647),MONTH(C647),1),$C$7:$C$1000,"&lt;="&amp;EOMONTH(C647,0),$X$7:$X$1000,"Win")/COUNTIFS($C$7:$C$1000,"&gt;="&amp;DATE(YEAR(C647),MONTH(C647),1),$C$7:$C$1000,"&lt;="&amp;EOMONTH(C647,0)),"")</f>
        <v/>
      </c>
    </row>
    <row r="648" spans="2:29" x14ac:dyDescent="0.25">
      <c r="B648" s="54">
        <v>642</v>
      </c>
      <c r="C648" s="168"/>
      <c r="D648" s="51"/>
      <c r="E648" s="29"/>
      <c r="F648" s="48"/>
      <c r="G648" s="29"/>
      <c r="H648" s="187"/>
      <c r="I648" s="187"/>
      <c r="J648" s="195"/>
      <c r="K648" s="86" t="str">
        <f t="shared" si="80"/>
        <v/>
      </c>
      <c r="L648" s="57" t="str">
        <f t="shared" si="79"/>
        <v/>
      </c>
      <c r="M648" s="186"/>
      <c r="N648" s="189"/>
      <c r="O648" s="190"/>
      <c r="P648" s="190" t="str">
        <f>IF(OR(ISBLANK(V648),COUNTBLANK(V648:$V$1048576)=ROWS(V648:$V$1048576)),"",$R$2*(1+SUM(V$7:V648)))</f>
        <v/>
      </c>
      <c r="Q648" s="191"/>
      <c r="R648" s="189"/>
      <c r="S648" s="53" t="str">
        <f t="shared" si="81"/>
        <v/>
      </c>
      <c r="T648" s="63" t="str">
        <f t="shared" si="82"/>
        <v/>
      </c>
      <c r="U648" s="64" t="str">
        <f>IF(OR(ISBLANK(Trades!R648), ISBLANK(Trades!H648), ISBLANK(Trades!I648)), "", IF(Trades!H648=Trades!I648, "N/A", (Trades!R648-Trades!H648)/(Trades!H648-Trades!I648)))</f>
        <v/>
      </c>
      <c r="V648" s="65" t="str">
        <f t="shared" si="83"/>
        <v/>
      </c>
      <c r="W648" s="66" t="str">
        <f t="shared" si="84"/>
        <v/>
      </c>
      <c r="X648" s="62" t="str">
        <f t="shared" si="85"/>
        <v/>
      </c>
      <c r="Y648" s="45"/>
      <c r="Z648" s="44"/>
      <c r="AA648" s="41"/>
      <c r="AB648" s="39"/>
      <c r="AC648" s="37" t="str">
        <f t="shared" si="86"/>
        <v/>
      </c>
    </row>
    <row r="649" spans="2:29" x14ac:dyDescent="0.25">
      <c r="B649" s="54">
        <v>643</v>
      </c>
      <c r="C649" s="168"/>
      <c r="D649" s="51"/>
      <c r="E649" s="29"/>
      <c r="F649" s="48"/>
      <c r="G649" s="29"/>
      <c r="H649" s="187"/>
      <c r="I649" s="187"/>
      <c r="J649" s="195"/>
      <c r="K649" s="86" t="str">
        <f t="shared" si="80"/>
        <v/>
      </c>
      <c r="L649" s="57" t="str">
        <f t="shared" si="79"/>
        <v/>
      </c>
      <c r="M649" s="186"/>
      <c r="N649" s="189"/>
      <c r="O649" s="190"/>
      <c r="P649" s="190" t="str">
        <f>IF(OR(ISBLANK(V649),COUNTBLANK(V649:$V$1048576)=ROWS(V649:$V$1048576)),"",$R$2*(1+SUM(V$7:V649)))</f>
        <v/>
      </c>
      <c r="Q649" s="191"/>
      <c r="R649" s="189"/>
      <c r="S649" s="53" t="str">
        <f t="shared" si="81"/>
        <v/>
      </c>
      <c r="T649" s="63" t="str">
        <f t="shared" si="82"/>
        <v/>
      </c>
      <c r="U649" s="64" t="str">
        <f>IF(OR(ISBLANK(Trades!R649), ISBLANK(Trades!H649), ISBLANK(Trades!I649)), "", IF(Trades!H649=Trades!I649, "N/A", (Trades!R649-Trades!H649)/(Trades!H649-Trades!I649)))</f>
        <v/>
      </c>
      <c r="V649" s="65" t="str">
        <f t="shared" si="83"/>
        <v/>
      </c>
      <c r="W649" s="66" t="str">
        <f t="shared" si="84"/>
        <v/>
      </c>
      <c r="X649" s="62" t="str">
        <f t="shared" si="85"/>
        <v/>
      </c>
      <c r="Y649" s="45"/>
      <c r="Z649" s="44"/>
      <c r="AA649" s="41"/>
      <c r="AB649" s="39"/>
      <c r="AC649" s="37" t="str">
        <f t="shared" si="86"/>
        <v/>
      </c>
    </row>
    <row r="650" spans="2:29" x14ac:dyDescent="0.25">
      <c r="B650" s="54">
        <v>644</v>
      </c>
      <c r="C650" s="168"/>
      <c r="D650" s="51"/>
      <c r="E650" s="29"/>
      <c r="F650" s="48"/>
      <c r="G650" s="29"/>
      <c r="H650" s="187"/>
      <c r="I650" s="187"/>
      <c r="J650" s="195"/>
      <c r="K650" s="86" t="str">
        <f t="shared" si="80"/>
        <v/>
      </c>
      <c r="L650" s="57" t="str">
        <f t="shared" si="79"/>
        <v/>
      </c>
      <c r="M650" s="186"/>
      <c r="N650" s="189"/>
      <c r="O650" s="190"/>
      <c r="P650" s="190" t="str">
        <f>IF(OR(ISBLANK(V650),COUNTBLANK(V650:$V$1048576)=ROWS(V650:$V$1048576)),"",$R$2*(1+SUM(V$7:V650)))</f>
        <v/>
      </c>
      <c r="Q650" s="191"/>
      <c r="R650" s="189"/>
      <c r="S650" s="53" t="str">
        <f t="shared" si="81"/>
        <v/>
      </c>
      <c r="T650" s="63" t="str">
        <f t="shared" si="82"/>
        <v/>
      </c>
      <c r="U650" s="64" t="str">
        <f>IF(OR(ISBLANK(Trades!R650), ISBLANK(Trades!H650), ISBLANK(Trades!I650)), "", IF(Trades!H650=Trades!I650, "N/A", (Trades!R650-Trades!H650)/(Trades!H650-Trades!I650)))</f>
        <v/>
      </c>
      <c r="V650" s="65" t="str">
        <f t="shared" si="83"/>
        <v/>
      </c>
      <c r="W650" s="66" t="str">
        <f t="shared" si="84"/>
        <v/>
      </c>
      <c r="X650" s="62" t="str">
        <f t="shared" si="85"/>
        <v/>
      </c>
      <c r="Y650" s="45"/>
      <c r="Z650" s="44"/>
      <c r="AA650" s="41"/>
      <c r="AB650" s="39"/>
      <c r="AC650" s="37" t="str">
        <f t="shared" si="86"/>
        <v/>
      </c>
    </row>
    <row r="651" spans="2:29" x14ac:dyDescent="0.25">
      <c r="B651" s="54">
        <v>645</v>
      </c>
      <c r="C651" s="168"/>
      <c r="D651" s="51"/>
      <c r="E651" s="29"/>
      <c r="F651" s="48"/>
      <c r="G651" s="29"/>
      <c r="H651" s="187"/>
      <c r="I651" s="187"/>
      <c r="J651" s="195"/>
      <c r="K651" s="86" t="str">
        <f t="shared" si="80"/>
        <v/>
      </c>
      <c r="L651" s="57" t="str">
        <f t="shared" si="79"/>
        <v/>
      </c>
      <c r="M651" s="186"/>
      <c r="N651" s="189"/>
      <c r="O651" s="190"/>
      <c r="P651" s="190" t="str">
        <f>IF(OR(ISBLANK(V651),COUNTBLANK(V651:$V$1048576)=ROWS(V651:$V$1048576)),"",$R$2*(1+SUM(V$7:V651)))</f>
        <v/>
      </c>
      <c r="Q651" s="191"/>
      <c r="R651" s="189"/>
      <c r="S651" s="53" t="str">
        <f t="shared" si="81"/>
        <v/>
      </c>
      <c r="T651" s="63" t="str">
        <f t="shared" si="82"/>
        <v/>
      </c>
      <c r="U651" s="64" t="str">
        <f>IF(OR(ISBLANK(Trades!R651), ISBLANK(Trades!H651), ISBLANK(Trades!I651)), "", IF(Trades!H651=Trades!I651, "N/A", (Trades!R651-Trades!H651)/(Trades!H651-Trades!I651)))</f>
        <v/>
      </c>
      <c r="V651" s="65" t="str">
        <f t="shared" si="83"/>
        <v/>
      </c>
      <c r="W651" s="66" t="str">
        <f t="shared" si="84"/>
        <v/>
      </c>
      <c r="X651" s="62" t="str">
        <f t="shared" si="85"/>
        <v/>
      </c>
      <c r="Y651" s="45"/>
      <c r="Z651" s="44"/>
      <c r="AA651" s="41"/>
      <c r="AB651" s="39"/>
      <c r="AC651" s="37" t="str">
        <f t="shared" si="86"/>
        <v/>
      </c>
    </row>
    <row r="652" spans="2:29" x14ac:dyDescent="0.25">
      <c r="B652" s="54">
        <v>646</v>
      </c>
      <c r="C652" s="168"/>
      <c r="D652" s="51"/>
      <c r="E652" s="29"/>
      <c r="F652" s="48"/>
      <c r="G652" s="29"/>
      <c r="H652" s="187"/>
      <c r="I652" s="187"/>
      <c r="J652" s="195"/>
      <c r="K652" s="86" t="str">
        <f t="shared" si="80"/>
        <v/>
      </c>
      <c r="L652" s="57" t="str">
        <f t="shared" ref="L652:L715" si="87">IF(OR(ISBLANK(J652),ISBLANK(H652),ISBLANK(I652)),"",ABS(J652-H652)/ABS(H652-I652))</f>
        <v/>
      </c>
      <c r="M652" s="186"/>
      <c r="N652" s="189"/>
      <c r="O652" s="190"/>
      <c r="P652" s="190" t="str">
        <f>IF(OR(ISBLANK(V652),COUNTBLANK(V652:$V$1048576)=ROWS(V652:$V$1048576)),"",$R$2*(1+SUM(V$7:V652)))</f>
        <v/>
      </c>
      <c r="Q652" s="191"/>
      <c r="R652" s="189"/>
      <c r="S652" s="53" t="str">
        <f t="shared" si="81"/>
        <v/>
      </c>
      <c r="T652" s="63" t="str">
        <f t="shared" si="82"/>
        <v/>
      </c>
      <c r="U652" s="64" t="str">
        <f>IF(OR(ISBLANK(Trades!R652), ISBLANK(Trades!H652), ISBLANK(Trades!I652)), "", IF(Trades!H652=Trades!I652, "N/A", (Trades!R652-Trades!H652)/(Trades!H652-Trades!I652)))</f>
        <v/>
      </c>
      <c r="V652" s="65" t="str">
        <f t="shared" si="83"/>
        <v/>
      </c>
      <c r="W652" s="66" t="str">
        <f t="shared" si="84"/>
        <v/>
      </c>
      <c r="X652" s="62" t="str">
        <f t="shared" si="85"/>
        <v/>
      </c>
      <c r="Y652" s="45"/>
      <c r="Z652" s="44"/>
      <c r="AA652" s="41"/>
      <c r="AB652" s="39"/>
      <c r="AC652" s="37" t="str">
        <f t="shared" si="86"/>
        <v/>
      </c>
    </row>
    <row r="653" spans="2:29" x14ac:dyDescent="0.25">
      <c r="B653" s="54">
        <v>647</v>
      </c>
      <c r="C653" s="168"/>
      <c r="D653" s="51"/>
      <c r="E653" s="29"/>
      <c r="F653" s="48"/>
      <c r="G653" s="29"/>
      <c r="H653" s="187"/>
      <c r="I653" s="187"/>
      <c r="J653" s="195"/>
      <c r="K653" s="86" t="str">
        <f t="shared" si="80"/>
        <v/>
      </c>
      <c r="L653" s="57" t="str">
        <f t="shared" si="87"/>
        <v/>
      </c>
      <c r="M653" s="186"/>
      <c r="N653" s="189"/>
      <c r="O653" s="190"/>
      <c r="P653" s="190" t="str">
        <f>IF(OR(ISBLANK(V653),COUNTBLANK(V653:$V$1048576)=ROWS(V653:$V$1048576)),"",$R$2*(1+SUM(V$7:V653)))</f>
        <v/>
      </c>
      <c r="Q653" s="191"/>
      <c r="R653" s="189"/>
      <c r="S653" s="53" t="str">
        <f t="shared" si="81"/>
        <v/>
      </c>
      <c r="T653" s="63" t="str">
        <f t="shared" si="82"/>
        <v/>
      </c>
      <c r="U653" s="64" t="str">
        <f>IF(OR(ISBLANK(Trades!R653), ISBLANK(Trades!H653), ISBLANK(Trades!I653)), "", IF(Trades!H653=Trades!I653, "N/A", (Trades!R653-Trades!H653)/(Trades!H653-Trades!I653)))</f>
        <v/>
      </c>
      <c r="V653" s="65" t="str">
        <f t="shared" si="83"/>
        <v/>
      </c>
      <c r="W653" s="66" t="str">
        <f t="shared" si="84"/>
        <v/>
      </c>
      <c r="X653" s="62" t="str">
        <f t="shared" si="85"/>
        <v/>
      </c>
      <c r="Y653" s="45"/>
      <c r="Z653" s="44"/>
      <c r="AA653" s="41"/>
      <c r="AB653" s="39"/>
      <c r="AC653" s="37" t="str">
        <f t="shared" si="86"/>
        <v/>
      </c>
    </row>
    <row r="654" spans="2:29" x14ac:dyDescent="0.25">
      <c r="B654" s="54">
        <v>648</v>
      </c>
      <c r="C654" s="168"/>
      <c r="D654" s="51"/>
      <c r="E654" s="29"/>
      <c r="F654" s="48"/>
      <c r="G654" s="29"/>
      <c r="H654" s="187"/>
      <c r="I654" s="187"/>
      <c r="J654" s="195"/>
      <c r="K654" s="86" t="str">
        <f t="shared" si="80"/>
        <v/>
      </c>
      <c r="L654" s="57" t="str">
        <f t="shared" si="87"/>
        <v/>
      </c>
      <c r="M654" s="186"/>
      <c r="N654" s="189"/>
      <c r="O654" s="190"/>
      <c r="P654" s="190" t="str">
        <f>IF(OR(ISBLANK(V654),COUNTBLANK(V654:$V$1048576)=ROWS(V654:$V$1048576)),"",$R$2*(1+SUM(V$7:V654)))</f>
        <v/>
      </c>
      <c r="Q654" s="191"/>
      <c r="R654" s="189"/>
      <c r="S654" s="53" t="str">
        <f t="shared" si="81"/>
        <v/>
      </c>
      <c r="T654" s="63" t="str">
        <f t="shared" si="82"/>
        <v/>
      </c>
      <c r="U654" s="64" t="str">
        <f>IF(OR(ISBLANK(Trades!R654), ISBLANK(Trades!H654), ISBLANK(Trades!I654)), "", IF(Trades!H654=Trades!I654, "N/A", (Trades!R654-Trades!H654)/(Trades!H654-Trades!I654)))</f>
        <v/>
      </c>
      <c r="V654" s="65" t="str">
        <f t="shared" si="83"/>
        <v/>
      </c>
      <c r="W654" s="66" t="str">
        <f t="shared" si="84"/>
        <v/>
      </c>
      <c r="X654" s="62" t="str">
        <f t="shared" si="85"/>
        <v/>
      </c>
      <c r="Y654" s="45"/>
      <c r="Z654" s="44"/>
      <c r="AA654" s="41"/>
      <c r="AB654" s="39"/>
      <c r="AC654" s="37" t="str">
        <f t="shared" si="86"/>
        <v/>
      </c>
    </row>
    <row r="655" spans="2:29" x14ac:dyDescent="0.25">
      <c r="B655" s="54">
        <v>649</v>
      </c>
      <c r="C655" s="168"/>
      <c r="D655" s="51"/>
      <c r="E655" s="29"/>
      <c r="F655" s="48"/>
      <c r="G655" s="29"/>
      <c r="H655" s="187"/>
      <c r="I655" s="187"/>
      <c r="J655" s="195"/>
      <c r="K655" s="86" t="str">
        <f t="shared" si="80"/>
        <v/>
      </c>
      <c r="L655" s="57" t="str">
        <f t="shared" si="87"/>
        <v/>
      </c>
      <c r="M655" s="186"/>
      <c r="N655" s="189"/>
      <c r="O655" s="190"/>
      <c r="P655" s="190" t="str">
        <f>IF(OR(ISBLANK(V655),COUNTBLANK(V655:$V$1048576)=ROWS(V655:$V$1048576)),"",$R$2*(1+SUM(V$7:V655)))</f>
        <v/>
      </c>
      <c r="Q655" s="191"/>
      <c r="R655" s="189"/>
      <c r="S655" s="53" t="str">
        <f t="shared" si="81"/>
        <v/>
      </c>
      <c r="T655" s="63" t="str">
        <f t="shared" si="82"/>
        <v/>
      </c>
      <c r="U655" s="64" t="str">
        <f>IF(OR(ISBLANK(Trades!R655), ISBLANK(Trades!H655), ISBLANK(Trades!I655)), "", IF(Trades!H655=Trades!I655, "N/A", (Trades!R655-Trades!H655)/(Trades!H655-Trades!I655)))</f>
        <v/>
      </c>
      <c r="V655" s="65" t="str">
        <f t="shared" si="83"/>
        <v/>
      </c>
      <c r="W655" s="66" t="str">
        <f t="shared" si="84"/>
        <v/>
      </c>
      <c r="X655" s="62" t="str">
        <f t="shared" si="85"/>
        <v/>
      </c>
      <c r="Y655" s="45"/>
      <c r="Z655" s="44"/>
      <c r="AA655" s="41"/>
      <c r="AB655" s="39"/>
      <c r="AC655" s="37" t="str">
        <f t="shared" si="86"/>
        <v/>
      </c>
    </row>
    <row r="656" spans="2:29" x14ac:dyDescent="0.25">
      <c r="B656" s="54">
        <v>650</v>
      </c>
      <c r="C656" s="168"/>
      <c r="D656" s="51"/>
      <c r="E656" s="29"/>
      <c r="F656" s="48"/>
      <c r="G656" s="29"/>
      <c r="H656" s="187"/>
      <c r="I656" s="187"/>
      <c r="J656" s="195"/>
      <c r="K656" s="86" t="str">
        <f t="shared" si="80"/>
        <v/>
      </c>
      <c r="L656" s="57" t="str">
        <f t="shared" si="87"/>
        <v/>
      </c>
      <c r="M656" s="186"/>
      <c r="N656" s="189"/>
      <c r="O656" s="190"/>
      <c r="P656" s="190" t="str">
        <f>IF(OR(ISBLANK(V656),COUNTBLANK(V656:$V$1048576)=ROWS(V656:$V$1048576)),"",$R$2*(1+SUM(V$7:V656)))</f>
        <v/>
      </c>
      <c r="Q656" s="191"/>
      <c r="R656" s="189"/>
      <c r="S656" s="53" t="str">
        <f t="shared" si="81"/>
        <v/>
      </c>
      <c r="T656" s="63" t="str">
        <f t="shared" si="82"/>
        <v/>
      </c>
      <c r="U656" s="64" t="str">
        <f>IF(OR(ISBLANK(Trades!R656), ISBLANK(Trades!H656), ISBLANK(Trades!I656)), "", IF(Trades!H656=Trades!I656, "N/A", (Trades!R656-Trades!H656)/(Trades!H656-Trades!I656)))</f>
        <v/>
      </c>
      <c r="V656" s="65" t="str">
        <f t="shared" si="83"/>
        <v/>
      </c>
      <c r="W656" s="66" t="str">
        <f t="shared" si="84"/>
        <v/>
      </c>
      <c r="X656" s="62" t="str">
        <f t="shared" si="85"/>
        <v/>
      </c>
      <c r="Y656" s="45"/>
      <c r="Z656" s="44"/>
      <c r="AA656" s="41"/>
      <c r="AB656" s="39"/>
      <c r="AC656" s="37" t="str">
        <f t="shared" si="86"/>
        <v/>
      </c>
    </row>
    <row r="657" spans="2:29" x14ac:dyDescent="0.25">
      <c r="B657" s="54">
        <v>651</v>
      </c>
      <c r="C657" s="168"/>
      <c r="D657" s="51"/>
      <c r="E657" s="29"/>
      <c r="F657" s="48"/>
      <c r="G657" s="29"/>
      <c r="H657" s="187"/>
      <c r="I657" s="187"/>
      <c r="J657" s="195"/>
      <c r="K657" s="86" t="str">
        <f t="shared" si="80"/>
        <v/>
      </c>
      <c r="L657" s="57" t="str">
        <f t="shared" si="87"/>
        <v/>
      </c>
      <c r="M657" s="186"/>
      <c r="N657" s="189"/>
      <c r="O657" s="190"/>
      <c r="P657" s="190" t="str">
        <f>IF(OR(ISBLANK(V657),COUNTBLANK(V657:$V$1048576)=ROWS(V657:$V$1048576)),"",$R$2*(1+SUM(V$7:V657)))</f>
        <v/>
      </c>
      <c r="Q657" s="191"/>
      <c r="R657" s="189"/>
      <c r="S657" s="53" t="str">
        <f t="shared" si="81"/>
        <v/>
      </c>
      <c r="T657" s="63" t="str">
        <f t="shared" si="82"/>
        <v/>
      </c>
      <c r="U657" s="64" t="str">
        <f>IF(OR(ISBLANK(Trades!R657), ISBLANK(Trades!H657), ISBLANK(Trades!I657)), "", IF(Trades!H657=Trades!I657, "N/A", (Trades!R657-Trades!H657)/(Trades!H657-Trades!I657)))</f>
        <v/>
      </c>
      <c r="V657" s="65" t="str">
        <f t="shared" si="83"/>
        <v/>
      </c>
      <c r="W657" s="66" t="str">
        <f t="shared" si="84"/>
        <v/>
      </c>
      <c r="X657" s="62" t="str">
        <f t="shared" si="85"/>
        <v/>
      </c>
      <c r="Y657" s="45"/>
      <c r="Z657" s="44"/>
      <c r="AA657" s="41"/>
      <c r="AB657" s="39"/>
      <c r="AC657" s="37" t="str">
        <f t="shared" si="86"/>
        <v/>
      </c>
    </row>
    <row r="658" spans="2:29" x14ac:dyDescent="0.25">
      <c r="B658" s="54">
        <v>652</v>
      </c>
      <c r="C658" s="168"/>
      <c r="D658" s="51"/>
      <c r="E658" s="29"/>
      <c r="F658" s="48"/>
      <c r="G658" s="29"/>
      <c r="H658" s="187"/>
      <c r="I658" s="187"/>
      <c r="J658" s="195"/>
      <c r="K658" s="86" t="str">
        <f t="shared" si="80"/>
        <v/>
      </c>
      <c r="L658" s="57" t="str">
        <f t="shared" si="87"/>
        <v/>
      </c>
      <c r="M658" s="186"/>
      <c r="N658" s="189"/>
      <c r="O658" s="190"/>
      <c r="P658" s="190" t="str">
        <f>IF(OR(ISBLANK(V658),COUNTBLANK(V658:$V$1048576)=ROWS(V658:$V$1048576)),"",$R$2*(1+SUM(V$7:V658)))</f>
        <v/>
      </c>
      <c r="Q658" s="191"/>
      <c r="R658" s="189"/>
      <c r="S658" s="53" t="str">
        <f t="shared" si="81"/>
        <v/>
      </c>
      <c r="T658" s="63" t="str">
        <f t="shared" si="82"/>
        <v/>
      </c>
      <c r="U658" s="64" t="str">
        <f>IF(OR(ISBLANK(Trades!R658), ISBLANK(Trades!H658), ISBLANK(Trades!I658)), "", IF(Trades!H658=Trades!I658, "N/A", (Trades!R658-Trades!H658)/(Trades!H658-Trades!I658)))</f>
        <v/>
      </c>
      <c r="V658" s="65" t="str">
        <f t="shared" si="83"/>
        <v/>
      </c>
      <c r="W658" s="66" t="str">
        <f t="shared" si="84"/>
        <v/>
      </c>
      <c r="X658" s="62" t="str">
        <f t="shared" si="85"/>
        <v/>
      </c>
      <c r="Y658" s="45"/>
      <c r="Z658" s="44"/>
      <c r="AA658" s="41"/>
      <c r="AB658" s="39"/>
      <c r="AC658" s="37" t="str">
        <f t="shared" si="86"/>
        <v/>
      </c>
    </row>
    <row r="659" spans="2:29" x14ac:dyDescent="0.25">
      <c r="B659" s="54">
        <v>653</v>
      </c>
      <c r="C659" s="168"/>
      <c r="D659" s="51"/>
      <c r="E659" s="29"/>
      <c r="F659" s="48"/>
      <c r="G659" s="29"/>
      <c r="H659" s="187"/>
      <c r="I659" s="187"/>
      <c r="J659" s="195"/>
      <c r="K659" s="86" t="str">
        <f t="shared" si="80"/>
        <v/>
      </c>
      <c r="L659" s="57" t="str">
        <f t="shared" si="87"/>
        <v/>
      </c>
      <c r="M659" s="186"/>
      <c r="N659" s="189"/>
      <c r="O659" s="190"/>
      <c r="P659" s="190" t="str">
        <f>IF(OR(ISBLANK(V659),COUNTBLANK(V659:$V$1048576)=ROWS(V659:$V$1048576)),"",$R$2*(1+SUM(V$7:V659)))</f>
        <v/>
      </c>
      <c r="Q659" s="191"/>
      <c r="R659" s="189"/>
      <c r="S659" s="53" t="str">
        <f t="shared" si="81"/>
        <v/>
      </c>
      <c r="T659" s="63" t="str">
        <f t="shared" si="82"/>
        <v/>
      </c>
      <c r="U659" s="64" t="str">
        <f>IF(OR(ISBLANK(Trades!R659), ISBLANK(Trades!H659), ISBLANK(Trades!I659)), "", IF(Trades!H659=Trades!I659, "N/A", (Trades!R659-Trades!H659)/(Trades!H659-Trades!I659)))</f>
        <v/>
      </c>
      <c r="V659" s="65" t="str">
        <f t="shared" si="83"/>
        <v/>
      </c>
      <c r="W659" s="66" t="str">
        <f t="shared" si="84"/>
        <v/>
      </c>
      <c r="X659" s="62" t="str">
        <f t="shared" si="85"/>
        <v/>
      </c>
      <c r="Y659" s="45"/>
      <c r="Z659" s="44"/>
      <c r="AA659" s="41"/>
      <c r="AB659" s="39"/>
      <c r="AC659" s="37" t="str">
        <f t="shared" si="86"/>
        <v/>
      </c>
    </row>
    <row r="660" spans="2:29" x14ac:dyDescent="0.25">
      <c r="B660" s="54">
        <v>654</v>
      </c>
      <c r="C660" s="168"/>
      <c r="D660" s="51"/>
      <c r="E660" s="29"/>
      <c r="F660" s="48"/>
      <c r="G660" s="29"/>
      <c r="H660" s="187"/>
      <c r="I660" s="187"/>
      <c r="J660" s="195"/>
      <c r="K660" s="86" t="str">
        <f t="shared" si="80"/>
        <v/>
      </c>
      <c r="L660" s="57" t="str">
        <f t="shared" si="87"/>
        <v/>
      </c>
      <c r="M660" s="186"/>
      <c r="N660" s="189"/>
      <c r="O660" s="190"/>
      <c r="P660" s="190" t="str">
        <f>IF(OR(ISBLANK(V660),COUNTBLANK(V660:$V$1048576)=ROWS(V660:$V$1048576)),"",$R$2*(1+SUM(V$7:V660)))</f>
        <v/>
      </c>
      <c r="Q660" s="191"/>
      <c r="R660" s="189"/>
      <c r="S660" s="53" t="str">
        <f t="shared" si="81"/>
        <v/>
      </c>
      <c r="T660" s="63" t="str">
        <f t="shared" si="82"/>
        <v/>
      </c>
      <c r="U660" s="64" t="str">
        <f>IF(OR(ISBLANK(Trades!R660), ISBLANK(Trades!H660), ISBLANK(Trades!I660)), "", IF(Trades!H660=Trades!I660, "N/A", (Trades!R660-Trades!H660)/(Trades!H660-Trades!I660)))</f>
        <v/>
      </c>
      <c r="V660" s="65" t="str">
        <f t="shared" si="83"/>
        <v/>
      </c>
      <c r="W660" s="66" t="str">
        <f t="shared" si="84"/>
        <v/>
      </c>
      <c r="X660" s="62" t="str">
        <f t="shared" si="85"/>
        <v/>
      </c>
      <c r="Y660" s="45"/>
      <c r="Z660" s="44"/>
      <c r="AA660" s="41"/>
      <c r="AB660" s="39"/>
      <c r="AC660" s="37" t="str">
        <f t="shared" si="86"/>
        <v/>
      </c>
    </row>
    <row r="661" spans="2:29" x14ac:dyDescent="0.25">
      <c r="B661" s="54">
        <v>655</v>
      </c>
      <c r="C661" s="168"/>
      <c r="D661" s="51"/>
      <c r="E661" s="29"/>
      <c r="F661" s="48"/>
      <c r="G661" s="29"/>
      <c r="H661" s="187"/>
      <c r="I661" s="187"/>
      <c r="J661" s="195"/>
      <c r="K661" s="86" t="str">
        <f t="shared" si="80"/>
        <v/>
      </c>
      <c r="L661" s="57" t="str">
        <f t="shared" si="87"/>
        <v/>
      </c>
      <c r="M661" s="186"/>
      <c r="N661" s="189"/>
      <c r="O661" s="190"/>
      <c r="P661" s="190" t="str">
        <f>IF(OR(ISBLANK(V661),COUNTBLANK(V661:$V$1048576)=ROWS(V661:$V$1048576)),"",$R$2*(1+SUM(V$7:V661)))</f>
        <v/>
      </c>
      <c r="Q661" s="191"/>
      <c r="R661" s="189"/>
      <c r="S661" s="53" t="str">
        <f t="shared" si="81"/>
        <v/>
      </c>
      <c r="T661" s="63" t="str">
        <f t="shared" si="82"/>
        <v/>
      </c>
      <c r="U661" s="64" t="str">
        <f>IF(OR(ISBLANK(Trades!R661), ISBLANK(Trades!H661), ISBLANK(Trades!I661)), "", IF(Trades!H661=Trades!I661, "N/A", (Trades!R661-Trades!H661)/(Trades!H661-Trades!I661)))</f>
        <v/>
      </c>
      <c r="V661" s="65" t="str">
        <f t="shared" si="83"/>
        <v/>
      </c>
      <c r="W661" s="66" t="str">
        <f t="shared" si="84"/>
        <v/>
      </c>
      <c r="X661" s="62" t="str">
        <f t="shared" si="85"/>
        <v/>
      </c>
      <c r="Y661" s="45"/>
      <c r="Z661" s="44"/>
      <c r="AA661" s="41"/>
      <c r="AB661" s="39"/>
      <c r="AC661" s="37" t="str">
        <f t="shared" si="86"/>
        <v/>
      </c>
    </row>
    <row r="662" spans="2:29" x14ac:dyDescent="0.25">
      <c r="B662" s="54">
        <v>656</v>
      </c>
      <c r="C662" s="168"/>
      <c r="D662" s="51"/>
      <c r="E662" s="29"/>
      <c r="F662" s="48"/>
      <c r="G662" s="29"/>
      <c r="H662" s="187"/>
      <c r="I662" s="187"/>
      <c r="J662" s="195"/>
      <c r="K662" s="86" t="str">
        <f t="shared" si="80"/>
        <v/>
      </c>
      <c r="L662" s="57" t="str">
        <f t="shared" si="87"/>
        <v/>
      </c>
      <c r="M662" s="186"/>
      <c r="N662" s="189"/>
      <c r="O662" s="190"/>
      <c r="P662" s="190" t="str">
        <f>IF(OR(ISBLANK(V662),COUNTBLANK(V662:$V$1048576)=ROWS(V662:$V$1048576)),"",$R$2*(1+SUM(V$7:V662)))</f>
        <v/>
      </c>
      <c r="Q662" s="191"/>
      <c r="R662" s="189"/>
      <c r="S662" s="53" t="str">
        <f t="shared" si="81"/>
        <v/>
      </c>
      <c r="T662" s="63" t="str">
        <f t="shared" si="82"/>
        <v/>
      </c>
      <c r="U662" s="64" t="str">
        <f>IF(OR(ISBLANK(Trades!R662), ISBLANK(Trades!H662), ISBLANK(Trades!I662)), "", IF(Trades!H662=Trades!I662, "N/A", (Trades!R662-Trades!H662)/(Trades!H662-Trades!I662)))</f>
        <v/>
      </c>
      <c r="V662" s="65" t="str">
        <f t="shared" si="83"/>
        <v/>
      </c>
      <c r="W662" s="66" t="str">
        <f t="shared" si="84"/>
        <v/>
      </c>
      <c r="X662" s="62" t="str">
        <f t="shared" si="85"/>
        <v/>
      </c>
      <c r="Y662" s="45"/>
      <c r="Z662" s="44"/>
      <c r="AA662" s="41"/>
      <c r="AB662" s="39"/>
      <c r="AC662" s="37" t="str">
        <f t="shared" si="86"/>
        <v/>
      </c>
    </row>
    <row r="663" spans="2:29" x14ac:dyDescent="0.25">
      <c r="B663" s="54">
        <v>657</v>
      </c>
      <c r="C663" s="168"/>
      <c r="D663" s="51"/>
      <c r="E663" s="29"/>
      <c r="F663" s="48"/>
      <c r="G663" s="29"/>
      <c r="H663" s="187"/>
      <c r="I663" s="187"/>
      <c r="J663" s="195"/>
      <c r="K663" s="86" t="str">
        <f t="shared" si="80"/>
        <v/>
      </c>
      <c r="L663" s="57" t="str">
        <f t="shared" si="87"/>
        <v/>
      </c>
      <c r="M663" s="186"/>
      <c r="N663" s="189"/>
      <c r="O663" s="190"/>
      <c r="P663" s="190" t="str">
        <f>IF(OR(ISBLANK(V663),COUNTBLANK(V663:$V$1048576)=ROWS(V663:$V$1048576)),"",$R$2*(1+SUM(V$7:V663)))</f>
        <v/>
      </c>
      <c r="Q663" s="191"/>
      <c r="R663" s="189"/>
      <c r="S663" s="53" t="str">
        <f t="shared" si="81"/>
        <v/>
      </c>
      <c r="T663" s="63" t="str">
        <f t="shared" si="82"/>
        <v/>
      </c>
      <c r="U663" s="64" t="str">
        <f>IF(OR(ISBLANK(Trades!R663), ISBLANK(Trades!H663), ISBLANK(Trades!I663)), "", IF(Trades!H663=Trades!I663, "N/A", (Trades!R663-Trades!H663)/(Trades!H663-Trades!I663)))</f>
        <v/>
      </c>
      <c r="V663" s="65" t="str">
        <f t="shared" si="83"/>
        <v/>
      </c>
      <c r="W663" s="66" t="str">
        <f t="shared" si="84"/>
        <v/>
      </c>
      <c r="X663" s="62" t="str">
        <f t="shared" si="85"/>
        <v/>
      </c>
      <c r="Y663" s="45"/>
      <c r="Z663" s="44"/>
      <c r="AA663" s="41"/>
      <c r="AB663" s="39"/>
      <c r="AC663" s="37" t="str">
        <f t="shared" si="86"/>
        <v/>
      </c>
    </row>
    <row r="664" spans="2:29" x14ac:dyDescent="0.25">
      <c r="B664" s="54">
        <v>658</v>
      </c>
      <c r="C664" s="168"/>
      <c r="D664" s="51"/>
      <c r="E664" s="29"/>
      <c r="F664" s="48"/>
      <c r="G664" s="29"/>
      <c r="H664" s="187"/>
      <c r="I664" s="187"/>
      <c r="J664" s="195"/>
      <c r="K664" s="86" t="str">
        <f t="shared" si="80"/>
        <v/>
      </c>
      <c r="L664" s="57" t="str">
        <f t="shared" si="87"/>
        <v/>
      </c>
      <c r="M664" s="186"/>
      <c r="N664" s="189"/>
      <c r="O664" s="190"/>
      <c r="P664" s="190" t="str">
        <f>IF(OR(ISBLANK(V664),COUNTBLANK(V664:$V$1048576)=ROWS(V664:$V$1048576)),"",$R$2*(1+SUM(V$7:V664)))</f>
        <v/>
      </c>
      <c r="Q664" s="191"/>
      <c r="R664" s="189"/>
      <c r="S664" s="53" t="str">
        <f t="shared" si="81"/>
        <v/>
      </c>
      <c r="T664" s="63" t="str">
        <f t="shared" si="82"/>
        <v/>
      </c>
      <c r="U664" s="64" t="str">
        <f>IF(OR(ISBLANK(Trades!R664), ISBLANK(Trades!H664), ISBLANK(Trades!I664)), "", IF(Trades!H664=Trades!I664, "N/A", (Trades!R664-Trades!H664)/(Trades!H664-Trades!I664)))</f>
        <v/>
      </c>
      <c r="V664" s="65" t="str">
        <f t="shared" si="83"/>
        <v/>
      </c>
      <c r="W664" s="66" t="str">
        <f t="shared" si="84"/>
        <v/>
      </c>
      <c r="X664" s="62" t="str">
        <f t="shared" si="85"/>
        <v/>
      </c>
      <c r="Y664" s="45"/>
      <c r="Z664" s="44"/>
      <c r="AA664" s="41"/>
      <c r="AB664" s="39"/>
      <c r="AC664" s="37" t="str">
        <f t="shared" si="86"/>
        <v/>
      </c>
    </row>
    <row r="665" spans="2:29" x14ac:dyDescent="0.25">
      <c r="B665" s="54">
        <v>659</v>
      </c>
      <c r="C665" s="168"/>
      <c r="D665" s="51"/>
      <c r="E665" s="29"/>
      <c r="F665" s="48"/>
      <c r="G665" s="29"/>
      <c r="H665" s="187"/>
      <c r="I665" s="187"/>
      <c r="J665" s="195"/>
      <c r="K665" s="86" t="str">
        <f t="shared" si="80"/>
        <v/>
      </c>
      <c r="L665" s="57" t="str">
        <f t="shared" si="87"/>
        <v/>
      </c>
      <c r="M665" s="186"/>
      <c r="N665" s="189"/>
      <c r="O665" s="190"/>
      <c r="P665" s="190" t="str">
        <f>IF(OR(ISBLANK(V665),COUNTBLANK(V665:$V$1048576)=ROWS(V665:$V$1048576)),"",$R$2*(1+SUM(V$7:V665)))</f>
        <v/>
      </c>
      <c r="Q665" s="191"/>
      <c r="R665" s="189"/>
      <c r="S665" s="53" t="str">
        <f t="shared" si="81"/>
        <v/>
      </c>
      <c r="T665" s="63" t="str">
        <f t="shared" si="82"/>
        <v/>
      </c>
      <c r="U665" s="64" t="str">
        <f>IF(OR(ISBLANK(Trades!R665), ISBLANK(Trades!H665), ISBLANK(Trades!I665)), "", IF(Trades!H665=Trades!I665, "N/A", (Trades!R665-Trades!H665)/(Trades!H665-Trades!I665)))</f>
        <v/>
      </c>
      <c r="V665" s="65" t="str">
        <f t="shared" si="83"/>
        <v/>
      </c>
      <c r="W665" s="66" t="str">
        <f t="shared" si="84"/>
        <v/>
      </c>
      <c r="X665" s="62" t="str">
        <f t="shared" si="85"/>
        <v/>
      </c>
      <c r="Y665" s="45"/>
      <c r="Z665" s="44"/>
      <c r="AA665" s="41"/>
      <c r="AB665" s="39"/>
      <c r="AC665" s="37" t="str">
        <f t="shared" si="86"/>
        <v/>
      </c>
    </row>
    <row r="666" spans="2:29" x14ac:dyDescent="0.25">
      <c r="B666" s="54">
        <v>660</v>
      </c>
      <c r="C666" s="168"/>
      <c r="D666" s="51"/>
      <c r="E666" s="29"/>
      <c r="F666" s="48"/>
      <c r="G666" s="29"/>
      <c r="H666" s="187"/>
      <c r="I666" s="187"/>
      <c r="J666" s="195"/>
      <c r="K666" s="86" t="str">
        <f t="shared" si="80"/>
        <v/>
      </c>
      <c r="L666" s="57" t="str">
        <f t="shared" si="87"/>
        <v/>
      </c>
      <c r="M666" s="186"/>
      <c r="N666" s="189"/>
      <c r="O666" s="190"/>
      <c r="P666" s="190" t="str">
        <f>IF(OR(ISBLANK(V666),COUNTBLANK(V666:$V$1048576)=ROWS(V666:$V$1048576)),"",$R$2*(1+SUM(V$7:V666)))</f>
        <v/>
      </c>
      <c r="Q666" s="191"/>
      <c r="R666" s="189"/>
      <c r="S666" s="53" t="str">
        <f t="shared" si="81"/>
        <v/>
      </c>
      <c r="T666" s="63" t="str">
        <f t="shared" si="82"/>
        <v/>
      </c>
      <c r="U666" s="64" t="str">
        <f>IF(OR(ISBLANK(Trades!R666), ISBLANK(Trades!H666), ISBLANK(Trades!I666)), "", IF(Trades!H666=Trades!I666, "N/A", (Trades!R666-Trades!H666)/(Trades!H666-Trades!I666)))</f>
        <v/>
      </c>
      <c r="V666" s="65" t="str">
        <f t="shared" si="83"/>
        <v/>
      </c>
      <c r="W666" s="66" t="str">
        <f t="shared" si="84"/>
        <v/>
      </c>
      <c r="X666" s="62" t="str">
        <f t="shared" si="85"/>
        <v/>
      </c>
      <c r="Y666" s="45"/>
      <c r="Z666" s="44"/>
      <c r="AA666" s="41"/>
      <c r="AB666" s="39"/>
      <c r="AC666" s="37" t="str">
        <f t="shared" si="86"/>
        <v/>
      </c>
    </row>
    <row r="667" spans="2:29" x14ac:dyDescent="0.25">
      <c r="B667" s="54">
        <v>661</v>
      </c>
      <c r="C667" s="168"/>
      <c r="D667" s="51"/>
      <c r="E667" s="29"/>
      <c r="F667" s="48"/>
      <c r="G667" s="29"/>
      <c r="H667" s="187"/>
      <c r="I667" s="187"/>
      <c r="J667" s="195"/>
      <c r="K667" s="86" t="str">
        <f t="shared" si="80"/>
        <v/>
      </c>
      <c r="L667" s="57" t="str">
        <f t="shared" si="87"/>
        <v/>
      </c>
      <c r="M667" s="186"/>
      <c r="N667" s="189"/>
      <c r="O667" s="190"/>
      <c r="P667" s="190" t="str">
        <f>IF(OR(ISBLANK(V667),COUNTBLANK(V667:$V$1048576)=ROWS(V667:$V$1048576)),"",$R$2*(1+SUM(V$7:V667)))</f>
        <v/>
      </c>
      <c r="Q667" s="191"/>
      <c r="R667" s="189"/>
      <c r="S667" s="53" t="str">
        <f t="shared" si="81"/>
        <v/>
      </c>
      <c r="T667" s="63" t="str">
        <f t="shared" si="82"/>
        <v/>
      </c>
      <c r="U667" s="64" t="str">
        <f>IF(OR(ISBLANK(Trades!R667), ISBLANK(Trades!H667), ISBLANK(Trades!I667)), "", IF(Trades!H667=Trades!I667, "N/A", (Trades!R667-Trades!H667)/(Trades!H667-Trades!I667)))</f>
        <v/>
      </c>
      <c r="V667" s="65" t="str">
        <f t="shared" si="83"/>
        <v/>
      </c>
      <c r="W667" s="66" t="str">
        <f t="shared" si="84"/>
        <v/>
      </c>
      <c r="X667" s="62" t="str">
        <f t="shared" si="85"/>
        <v/>
      </c>
      <c r="Y667" s="45"/>
      <c r="Z667" s="44"/>
      <c r="AA667" s="41"/>
      <c r="AB667" s="39"/>
      <c r="AC667" s="37" t="str">
        <f t="shared" si="86"/>
        <v/>
      </c>
    </row>
    <row r="668" spans="2:29" x14ac:dyDescent="0.25">
      <c r="B668" s="54">
        <v>662</v>
      </c>
      <c r="C668" s="168"/>
      <c r="D668" s="51"/>
      <c r="E668" s="29"/>
      <c r="F668" s="48"/>
      <c r="G668" s="29"/>
      <c r="H668" s="187"/>
      <c r="I668" s="187"/>
      <c r="J668" s="195"/>
      <c r="K668" s="86" t="str">
        <f t="shared" si="80"/>
        <v/>
      </c>
      <c r="L668" s="57" t="str">
        <f t="shared" si="87"/>
        <v/>
      </c>
      <c r="M668" s="186"/>
      <c r="N668" s="189"/>
      <c r="O668" s="190"/>
      <c r="P668" s="190" t="str">
        <f>IF(OR(ISBLANK(V668),COUNTBLANK(V668:$V$1048576)=ROWS(V668:$V$1048576)),"",$R$2*(1+SUM(V$7:V668)))</f>
        <v/>
      </c>
      <c r="Q668" s="191"/>
      <c r="R668" s="189"/>
      <c r="S668" s="53" t="str">
        <f t="shared" si="81"/>
        <v/>
      </c>
      <c r="T668" s="63" t="str">
        <f t="shared" si="82"/>
        <v/>
      </c>
      <c r="U668" s="64" t="str">
        <f>IF(OR(ISBLANK(Trades!R668), ISBLANK(Trades!H668), ISBLANK(Trades!I668)), "", IF(Trades!H668=Trades!I668, "N/A", (Trades!R668-Trades!H668)/(Trades!H668-Trades!I668)))</f>
        <v/>
      </c>
      <c r="V668" s="65" t="str">
        <f t="shared" si="83"/>
        <v/>
      </c>
      <c r="W668" s="66" t="str">
        <f t="shared" si="84"/>
        <v/>
      </c>
      <c r="X668" s="62" t="str">
        <f t="shared" si="85"/>
        <v/>
      </c>
      <c r="Y668" s="45"/>
      <c r="Z668" s="44"/>
      <c r="AA668" s="41"/>
      <c r="AB668" s="39"/>
      <c r="AC668" s="37" t="str">
        <f t="shared" si="86"/>
        <v/>
      </c>
    </row>
    <row r="669" spans="2:29" x14ac:dyDescent="0.25">
      <c r="B669" s="54">
        <v>663</v>
      </c>
      <c r="C669" s="168"/>
      <c r="D669" s="51"/>
      <c r="E669" s="29"/>
      <c r="F669" s="48"/>
      <c r="G669" s="29"/>
      <c r="H669" s="187"/>
      <c r="I669" s="187"/>
      <c r="J669" s="195"/>
      <c r="K669" s="86" t="str">
        <f t="shared" si="80"/>
        <v/>
      </c>
      <c r="L669" s="57" t="str">
        <f t="shared" si="87"/>
        <v/>
      </c>
      <c r="M669" s="186"/>
      <c r="N669" s="189"/>
      <c r="O669" s="190"/>
      <c r="P669" s="190" t="str">
        <f>IF(OR(ISBLANK(V669),COUNTBLANK(V669:$V$1048576)=ROWS(V669:$V$1048576)),"",$R$2*(1+SUM(V$7:V669)))</f>
        <v/>
      </c>
      <c r="Q669" s="191"/>
      <c r="R669" s="189"/>
      <c r="S669" s="53" t="str">
        <f t="shared" si="81"/>
        <v/>
      </c>
      <c r="T669" s="63" t="str">
        <f t="shared" si="82"/>
        <v/>
      </c>
      <c r="U669" s="64" t="str">
        <f>IF(OR(ISBLANK(Trades!R669), ISBLANK(Trades!H669), ISBLANK(Trades!I669)), "", IF(Trades!H669=Trades!I669, "N/A", (Trades!R669-Trades!H669)/(Trades!H669-Trades!I669)))</f>
        <v/>
      </c>
      <c r="V669" s="65" t="str">
        <f t="shared" si="83"/>
        <v/>
      </c>
      <c r="W669" s="66" t="str">
        <f t="shared" si="84"/>
        <v/>
      </c>
      <c r="X669" s="62" t="str">
        <f t="shared" si="85"/>
        <v/>
      </c>
      <c r="Y669" s="45"/>
      <c r="Z669" s="44"/>
      <c r="AA669" s="41"/>
      <c r="AB669" s="39"/>
      <c r="AC669" s="37" t="str">
        <f t="shared" si="86"/>
        <v/>
      </c>
    </row>
    <row r="670" spans="2:29" x14ac:dyDescent="0.25">
      <c r="B670" s="54">
        <v>664</v>
      </c>
      <c r="C670" s="168"/>
      <c r="D670" s="51"/>
      <c r="E670" s="29"/>
      <c r="F670" s="48"/>
      <c r="G670" s="29"/>
      <c r="H670" s="187"/>
      <c r="I670" s="187"/>
      <c r="J670" s="195"/>
      <c r="K670" s="86" t="str">
        <f t="shared" si="80"/>
        <v/>
      </c>
      <c r="L670" s="57" t="str">
        <f t="shared" si="87"/>
        <v/>
      </c>
      <c r="M670" s="186"/>
      <c r="N670" s="189"/>
      <c r="O670" s="190"/>
      <c r="P670" s="190" t="str">
        <f>IF(OR(ISBLANK(V670),COUNTBLANK(V670:$V$1048576)=ROWS(V670:$V$1048576)),"",$R$2*(1+SUM(V$7:V670)))</f>
        <v/>
      </c>
      <c r="Q670" s="191"/>
      <c r="R670" s="189"/>
      <c r="S670" s="53" t="str">
        <f t="shared" si="81"/>
        <v/>
      </c>
      <c r="T670" s="63" t="str">
        <f t="shared" si="82"/>
        <v/>
      </c>
      <c r="U670" s="64" t="str">
        <f>IF(OR(ISBLANK(Trades!R670), ISBLANK(Trades!H670), ISBLANK(Trades!I670)), "", IF(Trades!H670=Trades!I670, "N/A", (Trades!R670-Trades!H670)/(Trades!H670-Trades!I670)))</f>
        <v/>
      </c>
      <c r="V670" s="65" t="str">
        <f t="shared" si="83"/>
        <v/>
      </c>
      <c r="W670" s="66" t="str">
        <f t="shared" si="84"/>
        <v/>
      </c>
      <c r="X670" s="62" t="str">
        <f t="shared" si="85"/>
        <v/>
      </c>
      <c r="Y670" s="45"/>
      <c r="Z670" s="44"/>
      <c r="AA670" s="41"/>
      <c r="AB670" s="39"/>
      <c r="AC670" s="37" t="str">
        <f t="shared" si="86"/>
        <v/>
      </c>
    </row>
    <row r="671" spans="2:29" x14ac:dyDescent="0.25">
      <c r="B671" s="54">
        <v>665</v>
      </c>
      <c r="C671" s="168"/>
      <c r="D671" s="51"/>
      <c r="E671" s="29"/>
      <c r="F671" s="48"/>
      <c r="G671" s="29"/>
      <c r="H671" s="187"/>
      <c r="I671" s="187"/>
      <c r="J671" s="195"/>
      <c r="K671" s="86" t="str">
        <f t="shared" si="80"/>
        <v/>
      </c>
      <c r="L671" s="57" t="str">
        <f t="shared" si="87"/>
        <v/>
      </c>
      <c r="M671" s="186"/>
      <c r="N671" s="189"/>
      <c r="O671" s="190"/>
      <c r="P671" s="190" t="str">
        <f>IF(OR(ISBLANK(V671),COUNTBLANK(V671:$V$1048576)=ROWS(V671:$V$1048576)),"",$R$2*(1+SUM(V$7:V671)))</f>
        <v/>
      </c>
      <c r="Q671" s="191"/>
      <c r="R671" s="189"/>
      <c r="S671" s="53" t="str">
        <f t="shared" si="81"/>
        <v/>
      </c>
      <c r="T671" s="63" t="str">
        <f t="shared" si="82"/>
        <v/>
      </c>
      <c r="U671" s="64" t="str">
        <f>IF(OR(ISBLANK(Trades!R671), ISBLANK(Trades!H671), ISBLANK(Trades!I671)), "", IF(Trades!H671=Trades!I671, "N/A", (Trades!R671-Trades!H671)/(Trades!H671-Trades!I671)))</f>
        <v/>
      </c>
      <c r="V671" s="65" t="str">
        <f t="shared" si="83"/>
        <v/>
      </c>
      <c r="W671" s="66" t="str">
        <f t="shared" si="84"/>
        <v/>
      </c>
      <c r="X671" s="62" t="str">
        <f t="shared" si="85"/>
        <v/>
      </c>
      <c r="Y671" s="45"/>
      <c r="Z671" s="44"/>
      <c r="AA671" s="41"/>
      <c r="AB671" s="39"/>
      <c r="AC671" s="37" t="str">
        <f t="shared" si="86"/>
        <v/>
      </c>
    </row>
    <row r="672" spans="2:29" x14ac:dyDescent="0.25">
      <c r="B672" s="54">
        <v>666</v>
      </c>
      <c r="C672" s="168"/>
      <c r="D672" s="51"/>
      <c r="E672" s="29"/>
      <c r="F672" s="48"/>
      <c r="G672" s="29"/>
      <c r="H672" s="187"/>
      <c r="I672" s="187"/>
      <c r="J672" s="195"/>
      <c r="K672" s="86" t="str">
        <f t="shared" si="80"/>
        <v/>
      </c>
      <c r="L672" s="57" t="str">
        <f t="shared" si="87"/>
        <v/>
      </c>
      <c r="M672" s="186"/>
      <c r="N672" s="189"/>
      <c r="O672" s="190"/>
      <c r="P672" s="190" t="str">
        <f>IF(OR(ISBLANK(V672),COUNTBLANK(V672:$V$1048576)=ROWS(V672:$V$1048576)),"",$R$2*(1+SUM(V$7:V672)))</f>
        <v/>
      </c>
      <c r="Q672" s="191"/>
      <c r="R672" s="189"/>
      <c r="S672" s="53" t="str">
        <f t="shared" si="81"/>
        <v/>
      </c>
      <c r="T672" s="63" t="str">
        <f t="shared" si="82"/>
        <v/>
      </c>
      <c r="U672" s="64" t="str">
        <f>IF(OR(ISBLANK(Trades!R672), ISBLANK(Trades!H672), ISBLANK(Trades!I672)), "", IF(Trades!H672=Trades!I672, "N/A", (Trades!R672-Trades!H672)/(Trades!H672-Trades!I672)))</f>
        <v/>
      </c>
      <c r="V672" s="65" t="str">
        <f t="shared" si="83"/>
        <v/>
      </c>
      <c r="W672" s="66" t="str">
        <f t="shared" si="84"/>
        <v/>
      </c>
      <c r="X672" s="62" t="str">
        <f t="shared" si="85"/>
        <v/>
      </c>
      <c r="Y672" s="45"/>
      <c r="Z672" s="44"/>
      <c r="AA672" s="41"/>
      <c r="AB672" s="39"/>
      <c r="AC672" s="37" t="str">
        <f t="shared" si="86"/>
        <v/>
      </c>
    </row>
    <row r="673" spans="2:29" x14ac:dyDescent="0.25">
      <c r="B673" s="54">
        <v>667</v>
      </c>
      <c r="C673" s="168"/>
      <c r="D673" s="51"/>
      <c r="E673" s="29"/>
      <c r="F673" s="48"/>
      <c r="G673" s="29"/>
      <c r="H673" s="187"/>
      <c r="I673" s="187"/>
      <c r="J673" s="195"/>
      <c r="K673" s="86" t="str">
        <f t="shared" si="80"/>
        <v/>
      </c>
      <c r="L673" s="57" t="str">
        <f t="shared" si="87"/>
        <v/>
      </c>
      <c r="M673" s="186"/>
      <c r="N673" s="189"/>
      <c r="O673" s="190"/>
      <c r="P673" s="190" t="str">
        <f>IF(OR(ISBLANK(V673),COUNTBLANK(V673:$V$1048576)=ROWS(V673:$V$1048576)),"",$R$2*(1+SUM(V$7:V673)))</f>
        <v/>
      </c>
      <c r="Q673" s="191"/>
      <c r="R673" s="189"/>
      <c r="S673" s="53" t="str">
        <f t="shared" si="81"/>
        <v/>
      </c>
      <c r="T673" s="63" t="str">
        <f t="shared" si="82"/>
        <v/>
      </c>
      <c r="U673" s="64" t="str">
        <f>IF(OR(ISBLANK(Trades!R673), ISBLANK(Trades!H673), ISBLANK(Trades!I673)), "", IF(Trades!H673=Trades!I673, "N/A", (Trades!R673-Trades!H673)/(Trades!H673-Trades!I673)))</f>
        <v/>
      </c>
      <c r="V673" s="65" t="str">
        <f t="shared" si="83"/>
        <v/>
      </c>
      <c r="W673" s="66" t="str">
        <f t="shared" si="84"/>
        <v/>
      </c>
      <c r="X673" s="62" t="str">
        <f t="shared" si="85"/>
        <v/>
      </c>
      <c r="Y673" s="45"/>
      <c r="Z673" s="44"/>
      <c r="AA673" s="41"/>
      <c r="AB673" s="39"/>
      <c r="AC673" s="37" t="str">
        <f t="shared" si="86"/>
        <v/>
      </c>
    </row>
    <row r="674" spans="2:29" x14ac:dyDescent="0.25">
      <c r="B674" s="54">
        <v>668</v>
      </c>
      <c r="C674" s="168"/>
      <c r="D674" s="51"/>
      <c r="E674" s="29"/>
      <c r="F674" s="48"/>
      <c r="G674" s="29"/>
      <c r="H674" s="187"/>
      <c r="I674" s="187"/>
      <c r="J674" s="195"/>
      <c r="K674" s="86" t="str">
        <f t="shared" si="80"/>
        <v/>
      </c>
      <c r="L674" s="57" t="str">
        <f t="shared" si="87"/>
        <v/>
      </c>
      <c r="M674" s="186"/>
      <c r="N674" s="189"/>
      <c r="O674" s="190"/>
      <c r="P674" s="190" t="str">
        <f>IF(OR(ISBLANK(V674),COUNTBLANK(V674:$V$1048576)=ROWS(V674:$V$1048576)),"",$R$2*(1+SUM(V$7:V674)))</f>
        <v/>
      </c>
      <c r="Q674" s="191"/>
      <c r="R674" s="189"/>
      <c r="S674" s="53" t="str">
        <f t="shared" si="81"/>
        <v/>
      </c>
      <c r="T674" s="63" t="str">
        <f t="shared" si="82"/>
        <v/>
      </c>
      <c r="U674" s="64" t="str">
        <f>IF(OR(ISBLANK(Trades!R674), ISBLANK(Trades!H674), ISBLANK(Trades!I674)), "", IF(Trades!H674=Trades!I674, "N/A", (Trades!R674-Trades!H674)/(Trades!H674-Trades!I674)))</f>
        <v/>
      </c>
      <c r="V674" s="65" t="str">
        <f t="shared" si="83"/>
        <v/>
      </c>
      <c r="W674" s="66" t="str">
        <f t="shared" si="84"/>
        <v/>
      </c>
      <c r="X674" s="62" t="str">
        <f t="shared" si="85"/>
        <v/>
      </c>
      <c r="Y674" s="45"/>
      <c r="Z674" s="44"/>
      <c r="AA674" s="41"/>
      <c r="AB674" s="39"/>
      <c r="AC674" s="37" t="str">
        <f t="shared" si="86"/>
        <v/>
      </c>
    </row>
    <row r="675" spans="2:29" x14ac:dyDescent="0.25">
      <c r="B675" s="54">
        <v>669</v>
      </c>
      <c r="C675" s="168"/>
      <c r="D675" s="51"/>
      <c r="E675" s="29"/>
      <c r="F675" s="48"/>
      <c r="G675" s="29"/>
      <c r="H675" s="187"/>
      <c r="I675" s="187"/>
      <c r="J675" s="195"/>
      <c r="K675" s="86" t="str">
        <f t="shared" si="80"/>
        <v/>
      </c>
      <c r="L675" s="57" t="str">
        <f t="shared" si="87"/>
        <v/>
      </c>
      <c r="M675" s="186"/>
      <c r="N675" s="189"/>
      <c r="O675" s="190"/>
      <c r="P675" s="190" t="str">
        <f>IF(OR(ISBLANK(V675),COUNTBLANK(V675:$V$1048576)=ROWS(V675:$V$1048576)),"",$R$2*(1+SUM(V$7:V675)))</f>
        <v/>
      </c>
      <c r="Q675" s="191"/>
      <c r="R675" s="189"/>
      <c r="S675" s="53" t="str">
        <f t="shared" si="81"/>
        <v/>
      </c>
      <c r="T675" s="63" t="str">
        <f t="shared" si="82"/>
        <v/>
      </c>
      <c r="U675" s="64" t="str">
        <f>IF(OR(ISBLANK(Trades!R675), ISBLANK(Trades!H675), ISBLANK(Trades!I675)), "", IF(Trades!H675=Trades!I675, "N/A", (Trades!R675-Trades!H675)/(Trades!H675-Trades!I675)))</f>
        <v/>
      </c>
      <c r="V675" s="65" t="str">
        <f t="shared" si="83"/>
        <v/>
      </c>
      <c r="W675" s="66" t="str">
        <f t="shared" si="84"/>
        <v/>
      </c>
      <c r="X675" s="62" t="str">
        <f t="shared" si="85"/>
        <v/>
      </c>
      <c r="Y675" s="45"/>
      <c r="Z675" s="44"/>
      <c r="AA675" s="41"/>
      <c r="AB675" s="39"/>
      <c r="AC675" s="37" t="str">
        <f t="shared" si="86"/>
        <v/>
      </c>
    </row>
    <row r="676" spans="2:29" x14ac:dyDescent="0.25">
      <c r="B676" s="54">
        <v>670</v>
      </c>
      <c r="C676" s="168"/>
      <c r="D676" s="51"/>
      <c r="E676" s="29"/>
      <c r="F676" s="48"/>
      <c r="G676" s="29"/>
      <c r="H676" s="187"/>
      <c r="I676" s="187"/>
      <c r="J676" s="195"/>
      <c r="K676" s="86" t="str">
        <f t="shared" si="80"/>
        <v/>
      </c>
      <c r="L676" s="57" t="str">
        <f t="shared" si="87"/>
        <v/>
      </c>
      <c r="M676" s="186"/>
      <c r="N676" s="189"/>
      <c r="O676" s="190"/>
      <c r="P676" s="190" t="str">
        <f>IF(OR(ISBLANK(V676),COUNTBLANK(V676:$V$1048576)=ROWS(V676:$V$1048576)),"",$R$2*(1+SUM(V$7:V676)))</f>
        <v/>
      </c>
      <c r="Q676" s="191"/>
      <c r="R676" s="189"/>
      <c r="S676" s="53" t="str">
        <f t="shared" si="81"/>
        <v/>
      </c>
      <c r="T676" s="63" t="str">
        <f t="shared" si="82"/>
        <v/>
      </c>
      <c r="U676" s="64" t="str">
        <f>IF(OR(ISBLANK(Trades!R676), ISBLANK(Trades!H676), ISBLANK(Trades!I676)), "", IF(Trades!H676=Trades!I676, "N/A", (Trades!R676-Trades!H676)/(Trades!H676-Trades!I676)))</f>
        <v/>
      </c>
      <c r="V676" s="65" t="str">
        <f t="shared" si="83"/>
        <v/>
      </c>
      <c r="W676" s="66" t="str">
        <f t="shared" si="84"/>
        <v/>
      </c>
      <c r="X676" s="62" t="str">
        <f t="shared" si="85"/>
        <v/>
      </c>
      <c r="Y676" s="45"/>
      <c r="Z676" s="44"/>
      <c r="AA676" s="41"/>
      <c r="AB676" s="39"/>
      <c r="AC676" s="37" t="str">
        <f t="shared" si="86"/>
        <v/>
      </c>
    </row>
    <row r="677" spans="2:29" x14ac:dyDescent="0.25">
      <c r="B677" s="54">
        <v>671</v>
      </c>
      <c r="C677" s="168"/>
      <c r="D677" s="51"/>
      <c r="E677" s="29"/>
      <c r="F677" s="48"/>
      <c r="G677" s="29"/>
      <c r="H677" s="187"/>
      <c r="I677" s="187"/>
      <c r="J677" s="195"/>
      <c r="K677" s="86" t="str">
        <f t="shared" si="80"/>
        <v/>
      </c>
      <c r="L677" s="57" t="str">
        <f t="shared" si="87"/>
        <v/>
      </c>
      <c r="M677" s="186"/>
      <c r="N677" s="189"/>
      <c r="O677" s="190"/>
      <c r="P677" s="190" t="str">
        <f>IF(OR(ISBLANK(V677),COUNTBLANK(V677:$V$1048576)=ROWS(V677:$V$1048576)),"",$R$2*(1+SUM(V$7:V677)))</f>
        <v/>
      </c>
      <c r="Q677" s="191"/>
      <c r="R677" s="189"/>
      <c r="S677" s="53" t="str">
        <f t="shared" si="81"/>
        <v/>
      </c>
      <c r="T677" s="63" t="str">
        <f t="shared" si="82"/>
        <v/>
      </c>
      <c r="U677" s="64" t="str">
        <f>IF(OR(ISBLANK(Trades!R677), ISBLANK(Trades!H677), ISBLANK(Trades!I677)), "", IF(Trades!H677=Trades!I677, "N/A", (Trades!R677-Trades!H677)/(Trades!H677-Trades!I677)))</f>
        <v/>
      </c>
      <c r="V677" s="65" t="str">
        <f t="shared" si="83"/>
        <v/>
      </c>
      <c r="W677" s="66" t="str">
        <f t="shared" si="84"/>
        <v/>
      </c>
      <c r="X677" s="62" t="str">
        <f t="shared" si="85"/>
        <v/>
      </c>
      <c r="Y677" s="45"/>
      <c r="Z677" s="44"/>
      <c r="AA677" s="41"/>
      <c r="AB677" s="39"/>
      <c r="AC677" s="37" t="str">
        <f t="shared" si="86"/>
        <v/>
      </c>
    </row>
    <row r="678" spans="2:29" x14ac:dyDescent="0.25">
      <c r="B678" s="54">
        <v>672</v>
      </c>
      <c r="C678" s="168"/>
      <c r="D678" s="51"/>
      <c r="E678" s="29"/>
      <c r="F678" s="48"/>
      <c r="G678" s="29"/>
      <c r="H678" s="187"/>
      <c r="I678" s="187"/>
      <c r="J678" s="195"/>
      <c r="K678" s="86" t="str">
        <f t="shared" si="80"/>
        <v/>
      </c>
      <c r="L678" s="57" t="str">
        <f t="shared" si="87"/>
        <v/>
      </c>
      <c r="M678" s="186"/>
      <c r="N678" s="189"/>
      <c r="O678" s="190"/>
      <c r="P678" s="190" t="str">
        <f>IF(OR(ISBLANK(V678),COUNTBLANK(V678:$V$1048576)=ROWS(V678:$V$1048576)),"",$R$2*(1+SUM(V$7:V678)))</f>
        <v/>
      </c>
      <c r="Q678" s="191"/>
      <c r="R678" s="189"/>
      <c r="S678" s="53" t="str">
        <f t="shared" si="81"/>
        <v/>
      </c>
      <c r="T678" s="63" t="str">
        <f t="shared" si="82"/>
        <v/>
      </c>
      <c r="U678" s="64" t="str">
        <f>IF(OR(ISBLANK(Trades!R678), ISBLANK(Trades!H678), ISBLANK(Trades!I678)), "", IF(Trades!H678=Trades!I678, "N/A", (Trades!R678-Trades!H678)/(Trades!H678-Trades!I678)))</f>
        <v/>
      </c>
      <c r="V678" s="65" t="str">
        <f t="shared" si="83"/>
        <v/>
      </c>
      <c r="W678" s="66" t="str">
        <f t="shared" si="84"/>
        <v/>
      </c>
      <c r="X678" s="62" t="str">
        <f t="shared" si="85"/>
        <v/>
      </c>
      <c r="Y678" s="45"/>
      <c r="Z678" s="44"/>
      <c r="AA678" s="41"/>
      <c r="AB678" s="39"/>
      <c r="AC678" s="37" t="str">
        <f t="shared" si="86"/>
        <v/>
      </c>
    </row>
    <row r="679" spans="2:29" x14ac:dyDescent="0.25">
      <c r="B679" s="54">
        <v>673</v>
      </c>
      <c r="C679" s="168"/>
      <c r="D679" s="51"/>
      <c r="E679" s="29"/>
      <c r="F679" s="48"/>
      <c r="G679" s="29"/>
      <c r="H679" s="187"/>
      <c r="I679" s="187"/>
      <c r="J679" s="195"/>
      <c r="K679" s="86" t="str">
        <f t="shared" si="80"/>
        <v/>
      </c>
      <c r="L679" s="57" t="str">
        <f t="shared" si="87"/>
        <v/>
      </c>
      <c r="M679" s="186"/>
      <c r="N679" s="189"/>
      <c r="O679" s="190"/>
      <c r="P679" s="190" t="str">
        <f>IF(OR(ISBLANK(V679),COUNTBLANK(V679:$V$1048576)=ROWS(V679:$V$1048576)),"",$R$2*(1+SUM(V$7:V679)))</f>
        <v/>
      </c>
      <c r="Q679" s="191"/>
      <c r="R679" s="189"/>
      <c r="S679" s="53" t="str">
        <f t="shared" si="81"/>
        <v/>
      </c>
      <c r="T679" s="63" t="str">
        <f t="shared" si="82"/>
        <v/>
      </c>
      <c r="U679" s="64" t="str">
        <f>IF(OR(ISBLANK(Trades!R679), ISBLANK(Trades!H679), ISBLANK(Trades!I679)), "", IF(Trades!H679=Trades!I679, "N/A", (Trades!R679-Trades!H679)/(Trades!H679-Trades!I679)))</f>
        <v/>
      </c>
      <c r="V679" s="65" t="str">
        <f t="shared" si="83"/>
        <v/>
      </c>
      <c r="W679" s="66" t="str">
        <f t="shared" si="84"/>
        <v/>
      </c>
      <c r="X679" s="62" t="str">
        <f t="shared" si="85"/>
        <v/>
      </c>
      <c r="Y679" s="45"/>
      <c r="Z679" s="44"/>
      <c r="AA679" s="41"/>
      <c r="AB679" s="39"/>
      <c r="AC679" s="37" t="str">
        <f t="shared" si="86"/>
        <v/>
      </c>
    </row>
    <row r="680" spans="2:29" x14ac:dyDescent="0.25">
      <c r="B680" s="54">
        <v>674</v>
      </c>
      <c r="C680" s="168"/>
      <c r="D680" s="51"/>
      <c r="E680" s="29"/>
      <c r="F680" s="48"/>
      <c r="G680" s="29"/>
      <c r="H680" s="187"/>
      <c r="I680" s="187"/>
      <c r="J680" s="195"/>
      <c r="K680" s="86" t="str">
        <f t="shared" si="80"/>
        <v/>
      </c>
      <c r="L680" s="57" t="str">
        <f t="shared" si="87"/>
        <v/>
      </c>
      <c r="M680" s="186"/>
      <c r="N680" s="189"/>
      <c r="O680" s="190"/>
      <c r="P680" s="190" t="str">
        <f>IF(OR(ISBLANK(V680),COUNTBLANK(V680:$V$1048576)=ROWS(V680:$V$1048576)),"",$R$2*(1+SUM(V$7:V680)))</f>
        <v/>
      </c>
      <c r="Q680" s="191"/>
      <c r="R680" s="189"/>
      <c r="S680" s="53" t="str">
        <f t="shared" si="81"/>
        <v/>
      </c>
      <c r="T680" s="63" t="str">
        <f t="shared" si="82"/>
        <v/>
      </c>
      <c r="U680" s="64" t="str">
        <f>IF(OR(ISBLANK(Trades!R680), ISBLANK(Trades!H680), ISBLANK(Trades!I680)), "", IF(Trades!H680=Trades!I680, "N/A", (Trades!R680-Trades!H680)/(Trades!H680-Trades!I680)))</f>
        <v/>
      </c>
      <c r="V680" s="65" t="str">
        <f t="shared" si="83"/>
        <v/>
      </c>
      <c r="W680" s="66" t="str">
        <f t="shared" si="84"/>
        <v/>
      </c>
      <c r="X680" s="62" t="str">
        <f t="shared" si="85"/>
        <v/>
      </c>
      <c r="Y680" s="45"/>
      <c r="Z680" s="44"/>
      <c r="AA680" s="41"/>
      <c r="AB680" s="39"/>
      <c r="AC680" s="37" t="str">
        <f t="shared" si="86"/>
        <v/>
      </c>
    </row>
    <row r="681" spans="2:29" x14ac:dyDescent="0.25">
      <c r="B681" s="54">
        <v>675</v>
      </c>
      <c r="C681" s="168"/>
      <c r="D681" s="51"/>
      <c r="E681" s="29"/>
      <c r="F681" s="48"/>
      <c r="G681" s="29"/>
      <c r="H681" s="187"/>
      <c r="I681" s="187"/>
      <c r="J681" s="195"/>
      <c r="K681" s="86" t="str">
        <f t="shared" si="80"/>
        <v/>
      </c>
      <c r="L681" s="57" t="str">
        <f t="shared" si="87"/>
        <v/>
      </c>
      <c r="M681" s="186"/>
      <c r="N681" s="189"/>
      <c r="O681" s="190"/>
      <c r="P681" s="190" t="str">
        <f>IF(OR(ISBLANK(V681),COUNTBLANK(V681:$V$1048576)=ROWS(V681:$V$1048576)),"",$R$2*(1+SUM(V$7:V681)))</f>
        <v/>
      </c>
      <c r="Q681" s="191"/>
      <c r="R681" s="189"/>
      <c r="S681" s="53" t="str">
        <f t="shared" si="81"/>
        <v/>
      </c>
      <c r="T681" s="63" t="str">
        <f t="shared" si="82"/>
        <v/>
      </c>
      <c r="U681" s="64" t="str">
        <f>IF(OR(ISBLANK(Trades!R681), ISBLANK(Trades!H681), ISBLANK(Trades!I681)), "", IF(Trades!H681=Trades!I681, "N/A", (Trades!R681-Trades!H681)/(Trades!H681-Trades!I681)))</f>
        <v/>
      </c>
      <c r="V681" s="65" t="str">
        <f t="shared" si="83"/>
        <v/>
      </c>
      <c r="W681" s="66" t="str">
        <f t="shared" si="84"/>
        <v/>
      </c>
      <c r="X681" s="62" t="str">
        <f t="shared" si="85"/>
        <v/>
      </c>
      <c r="Y681" s="45"/>
      <c r="Z681" s="44"/>
      <c r="AA681" s="41"/>
      <c r="AB681" s="39"/>
      <c r="AC681" s="37" t="str">
        <f t="shared" si="86"/>
        <v/>
      </c>
    </row>
    <row r="682" spans="2:29" x14ac:dyDescent="0.25">
      <c r="B682" s="54">
        <v>676</v>
      </c>
      <c r="C682" s="168"/>
      <c r="D682" s="51"/>
      <c r="E682" s="29"/>
      <c r="F682" s="48"/>
      <c r="G682" s="29"/>
      <c r="H682" s="187"/>
      <c r="I682" s="187"/>
      <c r="J682" s="195"/>
      <c r="K682" s="86" t="str">
        <f t="shared" si="80"/>
        <v/>
      </c>
      <c r="L682" s="57" t="str">
        <f t="shared" si="87"/>
        <v/>
      </c>
      <c r="M682" s="186"/>
      <c r="N682" s="189"/>
      <c r="O682" s="190"/>
      <c r="P682" s="190" t="str">
        <f>IF(OR(ISBLANK(V682),COUNTBLANK(V682:$V$1048576)=ROWS(V682:$V$1048576)),"",$R$2*(1+SUM(V$7:V682)))</f>
        <v/>
      </c>
      <c r="Q682" s="191"/>
      <c r="R682" s="189"/>
      <c r="S682" s="53" t="str">
        <f t="shared" si="81"/>
        <v/>
      </c>
      <c r="T682" s="63" t="str">
        <f t="shared" si="82"/>
        <v/>
      </c>
      <c r="U682" s="64" t="str">
        <f>IF(OR(ISBLANK(Trades!R682), ISBLANK(Trades!H682), ISBLANK(Trades!I682)), "", IF(Trades!H682=Trades!I682, "N/A", (Trades!R682-Trades!H682)/(Trades!H682-Trades!I682)))</f>
        <v/>
      </c>
      <c r="V682" s="65" t="str">
        <f t="shared" si="83"/>
        <v/>
      </c>
      <c r="W682" s="66" t="str">
        <f t="shared" si="84"/>
        <v/>
      </c>
      <c r="X682" s="62" t="str">
        <f t="shared" si="85"/>
        <v/>
      </c>
      <c r="Y682" s="45"/>
      <c r="Z682" s="44"/>
      <c r="AA682" s="41"/>
      <c r="AB682" s="39"/>
      <c r="AC682" s="37" t="str">
        <f t="shared" si="86"/>
        <v/>
      </c>
    </row>
    <row r="683" spans="2:29" x14ac:dyDescent="0.25">
      <c r="B683" s="54">
        <v>677</v>
      </c>
      <c r="C683" s="168"/>
      <c r="D683" s="51"/>
      <c r="E683" s="29"/>
      <c r="F683" s="48"/>
      <c r="G683" s="29"/>
      <c r="H683" s="187"/>
      <c r="I683" s="187"/>
      <c r="J683" s="195"/>
      <c r="K683" s="86" t="str">
        <f t="shared" si="80"/>
        <v/>
      </c>
      <c r="L683" s="57" t="str">
        <f t="shared" si="87"/>
        <v/>
      </c>
      <c r="M683" s="186"/>
      <c r="N683" s="189"/>
      <c r="O683" s="190"/>
      <c r="P683" s="190" t="str">
        <f>IF(OR(ISBLANK(V683),COUNTBLANK(V683:$V$1048576)=ROWS(V683:$V$1048576)),"",$R$2*(1+SUM(V$7:V683)))</f>
        <v/>
      </c>
      <c r="Q683" s="191"/>
      <c r="R683" s="189"/>
      <c r="S683" s="53" t="str">
        <f t="shared" si="81"/>
        <v/>
      </c>
      <c r="T683" s="63" t="str">
        <f t="shared" si="82"/>
        <v/>
      </c>
      <c r="U683" s="64" t="str">
        <f>IF(OR(ISBLANK(Trades!R683), ISBLANK(Trades!H683), ISBLANK(Trades!I683)), "", IF(Trades!H683=Trades!I683, "N/A", (Trades!R683-Trades!H683)/(Trades!H683-Trades!I683)))</f>
        <v/>
      </c>
      <c r="V683" s="65" t="str">
        <f t="shared" si="83"/>
        <v/>
      </c>
      <c r="W683" s="66" t="str">
        <f t="shared" si="84"/>
        <v/>
      </c>
      <c r="X683" s="62" t="str">
        <f t="shared" si="85"/>
        <v/>
      </c>
      <c r="Y683" s="45"/>
      <c r="Z683" s="44"/>
      <c r="AA683" s="41"/>
      <c r="AB683" s="39"/>
      <c r="AC683" s="37" t="str">
        <f t="shared" si="86"/>
        <v/>
      </c>
    </row>
    <row r="684" spans="2:29" x14ac:dyDescent="0.25">
      <c r="B684" s="54">
        <v>678</v>
      </c>
      <c r="C684" s="168"/>
      <c r="D684" s="51"/>
      <c r="E684" s="29"/>
      <c r="F684" s="48"/>
      <c r="G684" s="29"/>
      <c r="H684" s="187"/>
      <c r="I684" s="187"/>
      <c r="J684" s="195"/>
      <c r="K684" s="86" t="str">
        <f t="shared" si="80"/>
        <v/>
      </c>
      <c r="L684" s="57" t="str">
        <f t="shared" si="87"/>
        <v/>
      </c>
      <c r="M684" s="186"/>
      <c r="N684" s="189"/>
      <c r="O684" s="190"/>
      <c r="P684" s="190" t="str">
        <f>IF(OR(ISBLANK(V684),COUNTBLANK(V684:$V$1048576)=ROWS(V684:$V$1048576)),"",$R$2*(1+SUM(V$7:V684)))</f>
        <v/>
      </c>
      <c r="Q684" s="191"/>
      <c r="R684" s="189"/>
      <c r="S684" s="53" t="str">
        <f t="shared" si="81"/>
        <v/>
      </c>
      <c r="T684" s="63" t="str">
        <f t="shared" si="82"/>
        <v/>
      </c>
      <c r="U684" s="64" t="str">
        <f>IF(OR(ISBLANK(Trades!R684), ISBLANK(Trades!H684), ISBLANK(Trades!I684)), "", IF(Trades!H684=Trades!I684, "N/A", (Trades!R684-Trades!H684)/(Trades!H684-Trades!I684)))</f>
        <v/>
      </c>
      <c r="V684" s="65" t="str">
        <f t="shared" si="83"/>
        <v/>
      </c>
      <c r="W684" s="66" t="str">
        <f t="shared" si="84"/>
        <v/>
      </c>
      <c r="X684" s="62" t="str">
        <f t="shared" si="85"/>
        <v/>
      </c>
      <c r="Y684" s="45"/>
      <c r="Z684" s="44"/>
      <c r="AA684" s="41"/>
      <c r="AB684" s="39"/>
      <c r="AC684" s="37" t="str">
        <f t="shared" si="86"/>
        <v/>
      </c>
    </row>
    <row r="685" spans="2:29" x14ac:dyDescent="0.25">
      <c r="B685" s="54">
        <v>679</v>
      </c>
      <c r="C685" s="168"/>
      <c r="D685" s="51"/>
      <c r="E685" s="29"/>
      <c r="F685" s="48"/>
      <c r="G685" s="29"/>
      <c r="H685" s="187"/>
      <c r="I685" s="187"/>
      <c r="J685" s="195"/>
      <c r="K685" s="86" t="str">
        <f t="shared" si="80"/>
        <v/>
      </c>
      <c r="L685" s="57" t="str">
        <f t="shared" si="87"/>
        <v/>
      </c>
      <c r="M685" s="186"/>
      <c r="N685" s="189"/>
      <c r="O685" s="190"/>
      <c r="P685" s="190" t="str">
        <f>IF(OR(ISBLANK(V685),COUNTBLANK(V685:$V$1048576)=ROWS(V685:$V$1048576)),"",$R$2*(1+SUM(V$7:V685)))</f>
        <v/>
      </c>
      <c r="Q685" s="191"/>
      <c r="R685" s="189"/>
      <c r="S685" s="53" t="str">
        <f t="shared" si="81"/>
        <v/>
      </c>
      <c r="T685" s="63" t="str">
        <f t="shared" si="82"/>
        <v/>
      </c>
      <c r="U685" s="64" t="str">
        <f>IF(OR(ISBLANK(Trades!R685), ISBLANK(Trades!H685), ISBLANK(Trades!I685)), "", IF(Trades!H685=Trades!I685, "N/A", (Trades!R685-Trades!H685)/(Trades!H685-Trades!I685)))</f>
        <v/>
      </c>
      <c r="V685" s="65" t="str">
        <f t="shared" si="83"/>
        <v/>
      </c>
      <c r="W685" s="66" t="str">
        <f t="shared" si="84"/>
        <v/>
      </c>
      <c r="X685" s="62" t="str">
        <f t="shared" si="85"/>
        <v/>
      </c>
      <c r="Y685" s="45"/>
      <c r="Z685" s="44"/>
      <c r="AA685" s="41"/>
      <c r="AB685" s="39"/>
      <c r="AC685" s="37" t="str">
        <f t="shared" si="86"/>
        <v/>
      </c>
    </row>
    <row r="686" spans="2:29" x14ac:dyDescent="0.25">
      <c r="B686" s="54">
        <v>680</v>
      </c>
      <c r="C686" s="168"/>
      <c r="D686" s="51"/>
      <c r="E686" s="29"/>
      <c r="F686" s="48"/>
      <c r="G686" s="29"/>
      <c r="H686" s="187"/>
      <c r="I686" s="187"/>
      <c r="J686" s="195"/>
      <c r="K686" s="86" t="str">
        <f t="shared" si="80"/>
        <v/>
      </c>
      <c r="L686" s="57" t="str">
        <f t="shared" si="87"/>
        <v/>
      </c>
      <c r="M686" s="186"/>
      <c r="N686" s="189"/>
      <c r="O686" s="190"/>
      <c r="P686" s="190" t="str">
        <f>IF(OR(ISBLANK(V686),COUNTBLANK(V686:$V$1048576)=ROWS(V686:$V$1048576)),"",$R$2*(1+SUM(V$7:V686)))</f>
        <v/>
      </c>
      <c r="Q686" s="191"/>
      <c r="R686" s="189"/>
      <c r="S686" s="53" t="str">
        <f t="shared" si="81"/>
        <v/>
      </c>
      <c r="T686" s="63" t="str">
        <f t="shared" si="82"/>
        <v/>
      </c>
      <c r="U686" s="64" t="str">
        <f>IF(OR(ISBLANK(Trades!R686), ISBLANK(Trades!H686), ISBLANK(Trades!I686)), "", IF(Trades!H686=Trades!I686, "N/A", (Trades!R686-Trades!H686)/(Trades!H686-Trades!I686)))</f>
        <v/>
      </c>
      <c r="V686" s="65" t="str">
        <f t="shared" si="83"/>
        <v/>
      </c>
      <c r="W686" s="66" t="str">
        <f t="shared" si="84"/>
        <v/>
      </c>
      <c r="X686" s="62" t="str">
        <f t="shared" si="85"/>
        <v/>
      </c>
      <c r="Y686" s="45"/>
      <c r="Z686" s="44"/>
      <c r="AA686" s="41"/>
      <c r="AB686" s="39"/>
      <c r="AC686" s="37" t="str">
        <f t="shared" si="86"/>
        <v/>
      </c>
    </row>
    <row r="687" spans="2:29" x14ac:dyDescent="0.25">
      <c r="B687" s="54">
        <v>681</v>
      </c>
      <c r="C687" s="168"/>
      <c r="D687" s="51"/>
      <c r="E687" s="29"/>
      <c r="F687" s="48"/>
      <c r="G687" s="29"/>
      <c r="H687" s="187"/>
      <c r="I687" s="187"/>
      <c r="J687" s="195"/>
      <c r="K687" s="86" t="str">
        <f t="shared" si="80"/>
        <v/>
      </c>
      <c r="L687" s="57" t="str">
        <f t="shared" si="87"/>
        <v/>
      </c>
      <c r="M687" s="186"/>
      <c r="N687" s="189"/>
      <c r="O687" s="190"/>
      <c r="P687" s="190" t="str">
        <f>IF(OR(ISBLANK(V687),COUNTBLANK(V687:$V$1048576)=ROWS(V687:$V$1048576)),"",$R$2*(1+SUM(V$7:V687)))</f>
        <v/>
      </c>
      <c r="Q687" s="191"/>
      <c r="R687" s="189"/>
      <c r="S687" s="53" t="str">
        <f t="shared" si="81"/>
        <v/>
      </c>
      <c r="T687" s="63" t="str">
        <f t="shared" si="82"/>
        <v/>
      </c>
      <c r="U687" s="64" t="str">
        <f>IF(OR(ISBLANK(Trades!R687), ISBLANK(Trades!H687), ISBLANK(Trades!I687)), "", IF(Trades!H687=Trades!I687, "N/A", (Trades!R687-Trades!H687)/(Trades!H687-Trades!I687)))</f>
        <v/>
      </c>
      <c r="V687" s="65" t="str">
        <f t="shared" si="83"/>
        <v/>
      </c>
      <c r="W687" s="66" t="str">
        <f t="shared" si="84"/>
        <v/>
      </c>
      <c r="X687" s="62" t="str">
        <f t="shared" si="85"/>
        <v/>
      </c>
      <c r="Y687" s="45"/>
      <c r="Z687" s="44"/>
      <c r="AA687" s="41"/>
      <c r="AB687" s="39"/>
      <c r="AC687" s="37" t="str">
        <f t="shared" si="86"/>
        <v/>
      </c>
    </row>
    <row r="688" spans="2:29" x14ac:dyDescent="0.25">
      <c r="B688" s="54">
        <v>682</v>
      </c>
      <c r="C688" s="168"/>
      <c r="D688" s="51"/>
      <c r="E688" s="29"/>
      <c r="F688" s="48"/>
      <c r="G688" s="29"/>
      <c r="H688" s="187"/>
      <c r="I688" s="187"/>
      <c r="J688" s="195"/>
      <c r="K688" s="86" t="str">
        <f t="shared" si="80"/>
        <v/>
      </c>
      <c r="L688" s="57" t="str">
        <f t="shared" si="87"/>
        <v/>
      </c>
      <c r="M688" s="186"/>
      <c r="N688" s="189"/>
      <c r="O688" s="190"/>
      <c r="P688" s="190" t="str">
        <f>IF(OR(ISBLANK(V688),COUNTBLANK(V688:$V$1048576)=ROWS(V688:$V$1048576)),"",$R$2*(1+SUM(V$7:V688)))</f>
        <v/>
      </c>
      <c r="Q688" s="191"/>
      <c r="R688" s="189"/>
      <c r="S688" s="53" t="str">
        <f t="shared" si="81"/>
        <v/>
      </c>
      <c r="T688" s="63" t="str">
        <f t="shared" si="82"/>
        <v/>
      </c>
      <c r="U688" s="64" t="str">
        <f>IF(OR(ISBLANK(Trades!R688), ISBLANK(Trades!H688), ISBLANK(Trades!I688)), "", IF(Trades!H688=Trades!I688, "N/A", (Trades!R688-Trades!H688)/(Trades!H688-Trades!I688)))</f>
        <v/>
      </c>
      <c r="V688" s="65" t="str">
        <f t="shared" si="83"/>
        <v/>
      </c>
      <c r="W688" s="66" t="str">
        <f t="shared" si="84"/>
        <v/>
      </c>
      <c r="X688" s="62" t="str">
        <f t="shared" si="85"/>
        <v/>
      </c>
      <c r="Y688" s="45"/>
      <c r="Z688" s="44"/>
      <c r="AA688" s="41"/>
      <c r="AB688" s="39"/>
      <c r="AC688" s="37" t="str">
        <f t="shared" si="86"/>
        <v/>
      </c>
    </row>
    <row r="689" spans="2:29" x14ac:dyDescent="0.25">
      <c r="B689" s="54">
        <v>683</v>
      </c>
      <c r="C689" s="168"/>
      <c r="D689" s="51"/>
      <c r="E689" s="29"/>
      <c r="F689" s="48"/>
      <c r="G689" s="29"/>
      <c r="H689" s="187"/>
      <c r="I689" s="187"/>
      <c r="J689" s="195"/>
      <c r="K689" s="86" t="str">
        <f t="shared" si="80"/>
        <v/>
      </c>
      <c r="L689" s="57" t="str">
        <f t="shared" si="87"/>
        <v/>
      </c>
      <c r="M689" s="186"/>
      <c r="N689" s="189"/>
      <c r="O689" s="190"/>
      <c r="P689" s="190" t="str">
        <f>IF(OR(ISBLANK(V689),COUNTBLANK(V689:$V$1048576)=ROWS(V689:$V$1048576)),"",$R$2*(1+SUM(V$7:V689)))</f>
        <v/>
      </c>
      <c r="Q689" s="191"/>
      <c r="R689" s="189"/>
      <c r="S689" s="53" t="str">
        <f t="shared" si="81"/>
        <v/>
      </c>
      <c r="T689" s="63" t="str">
        <f t="shared" si="82"/>
        <v/>
      </c>
      <c r="U689" s="64" t="str">
        <f>IF(OR(ISBLANK(Trades!R689), ISBLANK(Trades!H689), ISBLANK(Trades!I689)), "", IF(Trades!H689=Trades!I689, "N/A", (Trades!R689-Trades!H689)/(Trades!H689-Trades!I689)))</f>
        <v/>
      </c>
      <c r="V689" s="65" t="str">
        <f t="shared" si="83"/>
        <v/>
      </c>
      <c r="W689" s="66" t="str">
        <f t="shared" si="84"/>
        <v/>
      </c>
      <c r="X689" s="62" t="str">
        <f t="shared" si="85"/>
        <v/>
      </c>
      <c r="Y689" s="45"/>
      <c r="Z689" s="44"/>
      <c r="AA689" s="41"/>
      <c r="AB689" s="39"/>
      <c r="AC689" s="37" t="str">
        <f t="shared" si="86"/>
        <v/>
      </c>
    </row>
    <row r="690" spans="2:29" x14ac:dyDescent="0.25">
      <c r="B690" s="54">
        <v>684</v>
      </c>
      <c r="C690" s="168"/>
      <c r="D690" s="51"/>
      <c r="E690" s="29"/>
      <c r="F690" s="48"/>
      <c r="G690" s="29"/>
      <c r="H690" s="187"/>
      <c r="I690" s="187"/>
      <c r="J690" s="195"/>
      <c r="K690" s="86" t="str">
        <f t="shared" si="80"/>
        <v/>
      </c>
      <c r="L690" s="57" t="str">
        <f t="shared" si="87"/>
        <v/>
      </c>
      <c r="M690" s="186"/>
      <c r="N690" s="189"/>
      <c r="O690" s="190"/>
      <c r="P690" s="190" t="str">
        <f>IF(OR(ISBLANK(V690),COUNTBLANK(V690:$V$1048576)=ROWS(V690:$V$1048576)),"",$R$2*(1+SUM(V$7:V690)))</f>
        <v/>
      </c>
      <c r="Q690" s="191"/>
      <c r="R690" s="189"/>
      <c r="S690" s="53" t="str">
        <f t="shared" si="81"/>
        <v/>
      </c>
      <c r="T690" s="63" t="str">
        <f t="shared" si="82"/>
        <v/>
      </c>
      <c r="U690" s="64" t="str">
        <f>IF(OR(ISBLANK(Trades!R690), ISBLANK(Trades!H690), ISBLANK(Trades!I690)), "", IF(Trades!H690=Trades!I690, "N/A", (Trades!R690-Trades!H690)/(Trades!H690-Trades!I690)))</f>
        <v/>
      </c>
      <c r="V690" s="65" t="str">
        <f t="shared" si="83"/>
        <v/>
      </c>
      <c r="W690" s="66" t="str">
        <f t="shared" si="84"/>
        <v/>
      </c>
      <c r="X690" s="62" t="str">
        <f t="shared" si="85"/>
        <v/>
      </c>
      <c r="Y690" s="45"/>
      <c r="Z690" s="44"/>
      <c r="AA690" s="41"/>
      <c r="AB690" s="39"/>
      <c r="AC690" s="37" t="str">
        <f t="shared" si="86"/>
        <v/>
      </c>
    </row>
    <row r="691" spans="2:29" x14ac:dyDescent="0.25">
      <c r="B691" s="54">
        <v>685</v>
      </c>
      <c r="C691" s="168"/>
      <c r="D691" s="51"/>
      <c r="E691" s="29"/>
      <c r="F691" s="48"/>
      <c r="G691" s="29"/>
      <c r="H691" s="187"/>
      <c r="I691" s="187"/>
      <c r="J691" s="195"/>
      <c r="K691" s="86" t="str">
        <f t="shared" si="80"/>
        <v/>
      </c>
      <c r="L691" s="57" t="str">
        <f t="shared" si="87"/>
        <v/>
      </c>
      <c r="M691" s="186"/>
      <c r="N691" s="189"/>
      <c r="O691" s="190"/>
      <c r="P691" s="190" t="str">
        <f>IF(OR(ISBLANK(V691),COUNTBLANK(V691:$V$1048576)=ROWS(V691:$V$1048576)),"",$R$2*(1+SUM(V$7:V691)))</f>
        <v/>
      </c>
      <c r="Q691" s="191"/>
      <c r="R691" s="189"/>
      <c r="S691" s="53" t="str">
        <f t="shared" si="81"/>
        <v/>
      </c>
      <c r="T691" s="63" t="str">
        <f t="shared" si="82"/>
        <v/>
      </c>
      <c r="U691" s="64" t="str">
        <f>IF(OR(ISBLANK(Trades!R691), ISBLANK(Trades!H691), ISBLANK(Trades!I691)), "", IF(Trades!H691=Trades!I691, "N/A", (Trades!R691-Trades!H691)/(Trades!H691-Trades!I691)))</f>
        <v/>
      </c>
      <c r="V691" s="65" t="str">
        <f t="shared" si="83"/>
        <v/>
      </c>
      <c r="W691" s="66" t="str">
        <f t="shared" si="84"/>
        <v/>
      </c>
      <c r="X691" s="62" t="str">
        <f t="shared" si="85"/>
        <v/>
      </c>
      <c r="Y691" s="45"/>
      <c r="Z691" s="44"/>
      <c r="AA691" s="41"/>
      <c r="AB691" s="39"/>
      <c r="AC691" s="37" t="str">
        <f t="shared" si="86"/>
        <v/>
      </c>
    </row>
    <row r="692" spans="2:29" x14ac:dyDescent="0.25">
      <c r="B692" s="54">
        <v>686</v>
      </c>
      <c r="C692" s="168"/>
      <c r="D692" s="51"/>
      <c r="E692" s="29"/>
      <c r="F692" s="48"/>
      <c r="G692" s="29"/>
      <c r="H692" s="187"/>
      <c r="I692" s="187"/>
      <c r="J692" s="195"/>
      <c r="K692" s="86" t="str">
        <f t="shared" si="80"/>
        <v/>
      </c>
      <c r="L692" s="57" t="str">
        <f t="shared" si="87"/>
        <v/>
      </c>
      <c r="M692" s="186"/>
      <c r="N692" s="189"/>
      <c r="O692" s="190"/>
      <c r="P692" s="190" t="str">
        <f>IF(OR(ISBLANK(V692),COUNTBLANK(V692:$V$1048576)=ROWS(V692:$V$1048576)),"",$R$2*(1+SUM(V$7:V692)))</f>
        <v/>
      </c>
      <c r="Q692" s="191"/>
      <c r="R692" s="189"/>
      <c r="S692" s="53" t="str">
        <f t="shared" si="81"/>
        <v/>
      </c>
      <c r="T692" s="63" t="str">
        <f t="shared" si="82"/>
        <v/>
      </c>
      <c r="U692" s="64" t="str">
        <f>IF(OR(ISBLANK(Trades!R692), ISBLANK(Trades!H692), ISBLANK(Trades!I692)), "", IF(Trades!H692=Trades!I692, "N/A", (Trades!R692-Trades!H692)/(Trades!H692-Trades!I692)))</f>
        <v/>
      </c>
      <c r="V692" s="65" t="str">
        <f t="shared" si="83"/>
        <v/>
      </c>
      <c r="W692" s="66" t="str">
        <f t="shared" si="84"/>
        <v/>
      </c>
      <c r="X692" s="62" t="str">
        <f t="shared" si="85"/>
        <v/>
      </c>
      <c r="Y692" s="45"/>
      <c r="Z692" s="44"/>
      <c r="AA692" s="41"/>
      <c r="AB692" s="39"/>
      <c r="AC692" s="37" t="str">
        <f t="shared" si="86"/>
        <v/>
      </c>
    </row>
    <row r="693" spans="2:29" x14ac:dyDescent="0.25">
      <c r="B693" s="54">
        <v>687</v>
      </c>
      <c r="C693" s="168"/>
      <c r="D693" s="51"/>
      <c r="E693" s="29"/>
      <c r="F693" s="48"/>
      <c r="G693" s="29"/>
      <c r="H693" s="187"/>
      <c r="I693" s="187"/>
      <c r="J693" s="195"/>
      <c r="K693" s="86" t="str">
        <f t="shared" si="80"/>
        <v/>
      </c>
      <c r="L693" s="57" t="str">
        <f t="shared" si="87"/>
        <v/>
      </c>
      <c r="M693" s="186"/>
      <c r="N693" s="189"/>
      <c r="O693" s="190"/>
      <c r="P693" s="190" t="str">
        <f>IF(OR(ISBLANK(V693),COUNTBLANK(V693:$V$1048576)=ROWS(V693:$V$1048576)),"",$R$2*(1+SUM(V$7:V693)))</f>
        <v/>
      </c>
      <c r="Q693" s="191"/>
      <c r="R693" s="189"/>
      <c r="S693" s="53" t="str">
        <f t="shared" si="81"/>
        <v/>
      </c>
      <c r="T693" s="63" t="str">
        <f t="shared" si="82"/>
        <v/>
      </c>
      <c r="U693" s="64" t="str">
        <f>IF(OR(ISBLANK(Trades!R693), ISBLANK(Trades!H693), ISBLANK(Trades!I693)), "", IF(Trades!H693=Trades!I693, "N/A", (Trades!R693-Trades!H693)/(Trades!H693-Trades!I693)))</f>
        <v/>
      </c>
      <c r="V693" s="65" t="str">
        <f t="shared" si="83"/>
        <v/>
      </c>
      <c r="W693" s="66" t="str">
        <f t="shared" si="84"/>
        <v/>
      </c>
      <c r="X693" s="62" t="str">
        <f t="shared" si="85"/>
        <v/>
      </c>
      <c r="Y693" s="45"/>
      <c r="Z693" s="44"/>
      <c r="AA693" s="41"/>
      <c r="AB693" s="39"/>
      <c r="AC693" s="37" t="str">
        <f t="shared" si="86"/>
        <v/>
      </c>
    </row>
    <row r="694" spans="2:29" x14ac:dyDescent="0.25">
      <c r="B694" s="54">
        <v>688</v>
      </c>
      <c r="C694" s="168"/>
      <c r="D694" s="51"/>
      <c r="E694" s="29"/>
      <c r="F694" s="48"/>
      <c r="G694" s="29"/>
      <c r="H694" s="187"/>
      <c r="I694" s="187"/>
      <c r="J694" s="195"/>
      <c r="K694" s="86" t="str">
        <f t="shared" si="80"/>
        <v/>
      </c>
      <c r="L694" s="57" t="str">
        <f t="shared" si="87"/>
        <v/>
      </c>
      <c r="M694" s="186"/>
      <c r="N694" s="189"/>
      <c r="O694" s="190"/>
      <c r="P694" s="190" t="str">
        <f>IF(OR(ISBLANK(V694),COUNTBLANK(V694:$V$1048576)=ROWS(V694:$V$1048576)),"",$R$2*(1+SUM(V$7:V694)))</f>
        <v/>
      </c>
      <c r="Q694" s="191"/>
      <c r="R694" s="189"/>
      <c r="S694" s="53" t="str">
        <f t="shared" si="81"/>
        <v/>
      </c>
      <c r="T694" s="63" t="str">
        <f t="shared" si="82"/>
        <v/>
      </c>
      <c r="U694" s="64" t="str">
        <f>IF(OR(ISBLANK(Trades!R694), ISBLANK(Trades!H694), ISBLANK(Trades!I694)), "", IF(Trades!H694=Trades!I694, "N/A", (Trades!R694-Trades!H694)/(Trades!H694-Trades!I694)))</f>
        <v/>
      </c>
      <c r="V694" s="65" t="str">
        <f t="shared" si="83"/>
        <v/>
      </c>
      <c r="W694" s="66" t="str">
        <f t="shared" si="84"/>
        <v/>
      </c>
      <c r="X694" s="62" t="str">
        <f t="shared" si="85"/>
        <v/>
      </c>
      <c r="Y694" s="45"/>
      <c r="Z694" s="44"/>
      <c r="AA694" s="41"/>
      <c r="AB694" s="39"/>
      <c r="AC694" s="37" t="str">
        <f t="shared" si="86"/>
        <v/>
      </c>
    </row>
    <row r="695" spans="2:29" x14ac:dyDescent="0.25">
      <c r="B695" s="54">
        <v>689</v>
      </c>
      <c r="C695" s="168"/>
      <c r="D695" s="51"/>
      <c r="E695" s="29"/>
      <c r="F695" s="48"/>
      <c r="G695" s="29"/>
      <c r="H695" s="187"/>
      <c r="I695" s="187"/>
      <c r="J695" s="195"/>
      <c r="K695" s="86" t="str">
        <f t="shared" si="80"/>
        <v/>
      </c>
      <c r="L695" s="57" t="str">
        <f t="shared" si="87"/>
        <v/>
      </c>
      <c r="M695" s="186"/>
      <c r="N695" s="189"/>
      <c r="O695" s="190"/>
      <c r="P695" s="190" t="str">
        <f>IF(OR(ISBLANK(V695),COUNTBLANK(V695:$V$1048576)=ROWS(V695:$V$1048576)),"",$R$2*(1+SUM(V$7:V695)))</f>
        <v/>
      </c>
      <c r="Q695" s="191"/>
      <c r="R695" s="189"/>
      <c r="S695" s="53" t="str">
        <f t="shared" si="81"/>
        <v/>
      </c>
      <c r="T695" s="63" t="str">
        <f t="shared" si="82"/>
        <v/>
      </c>
      <c r="U695" s="64" t="str">
        <f>IF(OR(ISBLANK(Trades!R695), ISBLANK(Trades!H695), ISBLANK(Trades!I695)), "", IF(Trades!H695=Trades!I695, "N/A", (Trades!R695-Trades!H695)/(Trades!H695-Trades!I695)))</f>
        <v/>
      </c>
      <c r="V695" s="65" t="str">
        <f t="shared" si="83"/>
        <v/>
      </c>
      <c r="W695" s="66" t="str">
        <f t="shared" si="84"/>
        <v/>
      </c>
      <c r="X695" s="62" t="str">
        <f t="shared" si="85"/>
        <v/>
      </c>
      <c r="Y695" s="45"/>
      <c r="Z695" s="44"/>
      <c r="AA695" s="41"/>
      <c r="AB695" s="39"/>
      <c r="AC695" s="37" t="str">
        <f t="shared" si="86"/>
        <v/>
      </c>
    </row>
    <row r="696" spans="2:29" x14ac:dyDescent="0.25">
      <c r="B696" s="54">
        <v>690</v>
      </c>
      <c r="C696" s="168"/>
      <c r="D696" s="51"/>
      <c r="E696" s="29"/>
      <c r="F696" s="48"/>
      <c r="G696" s="29"/>
      <c r="H696" s="187"/>
      <c r="I696" s="187"/>
      <c r="J696" s="195"/>
      <c r="K696" s="86" t="str">
        <f t="shared" si="80"/>
        <v/>
      </c>
      <c r="L696" s="57" t="str">
        <f t="shared" si="87"/>
        <v/>
      </c>
      <c r="M696" s="186"/>
      <c r="N696" s="189"/>
      <c r="O696" s="190"/>
      <c r="P696" s="190" t="str">
        <f>IF(OR(ISBLANK(V696),COUNTBLANK(V696:$V$1048576)=ROWS(V696:$V$1048576)),"",$R$2*(1+SUM(V$7:V696)))</f>
        <v/>
      </c>
      <c r="Q696" s="191"/>
      <c r="R696" s="189"/>
      <c r="S696" s="53" t="str">
        <f t="shared" si="81"/>
        <v/>
      </c>
      <c r="T696" s="63" t="str">
        <f t="shared" si="82"/>
        <v/>
      </c>
      <c r="U696" s="64" t="str">
        <f>IF(OR(ISBLANK(Trades!R696), ISBLANK(Trades!H696), ISBLANK(Trades!I696)), "", IF(Trades!H696=Trades!I696, "N/A", (Trades!R696-Trades!H696)/(Trades!H696-Trades!I696)))</f>
        <v/>
      </c>
      <c r="V696" s="65" t="str">
        <f t="shared" si="83"/>
        <v/>
      </c>
      <c r="W696" s="66" t="str">
        <f t="shared" si="84"/>
        <v/>
      </c>
      <c r="X696" s="62" t="str">
        <f t="shared" si="85"/>
        <v/>
      </c>
      <c r="Y696" s="45"/>
      <c r="Z696" s="44"/>
      <c r="AA696" s="41"/>
      <c r="AB696" s="39"/>
      <c r="AC696" s="37" t="str">
        <f t="shared" si="86"/>
        <v/>
      </c>
    </row>
    <row r="697" spans="2:29" x14ac:dyDescent="0.25">
      <c r="B697" s="54">
        <v>691</v>
      </c>
      <c r="C697" s="168"/>
      <c r="D697" s="51"/>
      <c r="E697" s="29"/>
      <c r="F697" s="48"/>
      <c r="G697" s="29"/>
      <c r="H697" s="187"/>
      <c r="I697" s="187"/>
      <c r="J697" s="195"/>
      <c r="K697" s="86" t="str">
        <f t="shared" si="80"/>
        <v/>
      </c>
      <c r="L697" s="57" t="str">
        <f t="shared" si="87"/>
        <v/>
      </c>
      <c r="M697" s="186"/>
      <c r="N697" s="189"/>
      <c r="O697" s="190"/>
      <c r="P697" s="190" t="str">
        <f>IF(OR(ISBLANK(V697),COUNTBLANK(V697:$V$1048576)=ROWS(V697:$V$1048576)),"",$R$2*(1+SUM(V$7:V697)))</f>
        <v/>
      </c>
      <c r="Q697" s="191"/>
      <c r="R697" s="189"/>
      <c r="S697" s="53" t="str">
        <f t="shared" si="81"/>
        <v/>
      </c>
      <c r="T697" s="63" t="str">
        <f t="shared" si="82"/>
        <v/>
      </c>
      <c r="U697" s="64" t="str">
        <f>IF(OR(ISBLANK(Trades!R697), ISBLANK(Trades!H697), ISBLANK(Trades!I697)), "", IF(Trades!H697=Trades!I697, "N/A", (Trades!R697-Trades!H697)/(Trades!H697-Trades!I697)))</f>
        <v/>
      </c>
      <c r="V697" s="65" t="str">
        <f t="shared" si="83"/>
        <v/>
      </c>
      <c r="W697" s="66" t="str">
        <f t="shared" si="84"/>
        <v/>
      </c>
      <c r="X697" s="62" t="str">
        <f t="shared" si="85"/>
        <v/>
      </c>
      <c r="Y697" s="45"/>
      <c r="Z697" s="44"/>
      <c r="AA697" s="41"/>
      <c r="AB697" s="39"/>
      <c r="AC697" s="37" t="str">
        <f t="shared" si="86"/>
        <v/>
      </c>
    </row>
    <row r="698" spans="2:29" x14ac:dyDescent="0.25">
      <c r="B698" s="54">
        <v>692</v>
      </c>
      <c r="C698" s="168"/>
      <c r="D698" s="51"/>
      <c r="E698" s="29"/>
      <c r="F698" s="48"/>
      <c r="G698" s="29"/>
      <c r="H698" s="187"/>
      <c r="I698" s="187"/>
      <c r="J698" s="195"/>
      <c r="K698" s="86" t="str">
        <f t="shared" si="80"/>
        <v/>
      </c>
      <c r="L698" s="57" t="str">
        <f t="shared" si="87"/>
        <v/>
      </c>
      <c r="M698" s="186"/>
      <c r="N698" s="189"/>
      <c r="O698" s="190"/>
      <c r="P698" s="190" t="str">
        <f>IF(OR(ISBLANK(V698),COUNTBLANK(V698:$V$1048576)=ROWS(V698:$V$1048576)),"",$R$2*(1+SUM(V$7:V698)))</f>
        <v/>
      </c>
      <c r="Q698" s="191"/>
      <c r="R698" s="189"/>
      <c r="S698" s="53" t="str">
        <f t="shared" si="81"/>
        <v/>
      </c>
      <c r="T698" s="63" t="str">
        <f t="shared" si="82"/>
        <v/>
      </c>
      <c r="U698" s="64" t="str">
        <f>IF(OR(ISBLANK(Trades!R698), ISBLANK(Trades!H698), ISBLANK(Trades!I698)), "", IF(Trades!H698=Trades!I698, "N/A", (Trades!R698-Trades!H698)/(Trades!H698-Trades!I698)))</f>
        <v/>
      </c>
      <c r="V698" s="65" t="str">
        <f t="shared" si="83"/>
        <v/>
      </c>
      <c r="W698" s="66" t="str">
        <f t="shared" si="84"/>
        <v/>
      </c>
      <c r="X698" s="62" t="str">
        <f t="shared" si="85"/>
        <v/>
      </c>
      <c r="Y698" s="45"/>
      <c r="Z698" s="44"/>
      <c r="AA698" s="41"/>
      <c r="AB698" s="39"/>
      <c r="AC698" s="37" t="str">
        <f t="shared" si="86"/>
        <v/>
      </c>
    </row>
    <row r="699" spans="2:29" x14ac:dyDescent="0.25">
      <c r="B699" s="54">
        <v>693</v>
      </c>
      <c r="C699" s="168"/>
      <c r="D699" s="51"/>
      <c r="E699" s="29"/>
      <c r="F699" s="48"/>
      <c r="G699" s="29"/>
      <c r="H699" s="187"/>
      <c r="I699" s="187"/>
      <c r="J699" s="195"/>
      <c r="K699" s="86" t="str">
        <f t="shared" si="80"/>
        <v/>
      </c>
      <c r="L699" s="57" t="str">
        <f t="shared" si="87"/>
        <v/>
      </c>
      <c r="M699" s="186"/>
      <c r="N699" s="189"/>
      <c r="O699" s="190"/>
      <c r="P699" s="190" t="str">
        <f>IF(OR(ISBLANK(V699),COUNTBLANK(V699:$V$1048576)=ROWS(V699:$V$1048576)),"",$R$2*(1+SUM(V$7:V699)))</f>
        <v/>
      </c>
      <c r="Q699" s="191"/>
      <c r="R699" s="189"/>
      <c r="S699" s="53" t="str">
        <f t="shared" si="81"/>
        <v/>
      </c>
      <c r="T699" s="63" t="str">
        <f t="shared" si="82"/>
        <v/>
      </c>
      <c r="U699" s="64" t="str">
        <f>IF(OR(ISBLANK(Trades!R699), ISBLANK(Trades!H699), ISBLANK(Trades!I699)), "", IF(Trades!H699=Trades!I699, "N/A", (Trades!R699-Trades!H699)/(Trades!H699-Trades!I699)))</f>
        <v/>
      </c>
      <c r="V699" s="65" t="str">
        <f t="shared" si="83"/>
        <v/>
      </c>
      <c r="W699" s="66" t="str">
        <f t="shared" si="84"/>
        <v/>
      </c>
      <c r="X699" s="62" t="str">
        <f t="shared" si="85"/>
        <v/>
      </c>
      <c r="Y699" s="45"/>
      <c r="Z699" s="44"/>
      <c r="AA699" s="41"/>
      <c r="AB699" s="39"/>
      <c r="AC699" s="37" t="str">
        <f t="shared" si="86"/>
        <v/>
      </c>
    </row>
    <row r="700" spans="2:29" x14ac:dyDescent="0.25">
      <c r="B700" s="54">
        <v>694</v>
      </c>
      <c r="C700" s="168"/>
      <c r="D700" s="51"/>
      <c r="E700" s="29"/>
      <c r="F700" s="48"/>
      <c r="G700" s="29"/>
      <c r="H700" s="187"/>
      <c r="I700" s="187"/>
      <c r="J700" s="195"/>
      <c r="K700" s="86" t="str">
        <f t="shared" si="80"/>
        <v/>
      </c>
      <c r="L700" s="57" t="str">
        <f t="shared" si="87"/>
        <v/>
      </c>
      <c r="M700" s="186"/>
      <c r="N700" s="189"/>
      <c r="O700" s="190"/>
      <c r="P700" s="190" t="str">
        <f>IF(OR(ISBLANK(V700),COUNTBLANK(V700:$V$1048576)=ROWS(V700:$V$1048576)),"",$R$2*(1+SUM(V$7:V700)))</f>
        <v/>
      </c>
      <c r="Q700" s="191"/>
      <c r="R700" s="189"/>
      <c r="S700" s="53" t="str">
        <f t="shared" si="81"/>
        <v/>
      </c>
      <c r="T700" s="63" t="str">
        <f t="shared" si="82"/>
        <v/>
      </c>
      <c r="U700" s="64" t="str">
        <f>IF(OR(ISBLANK(Trades!R700), ISBLANK(Trades!H700), ISBLANK(Trades!I700)), "", IF(Trades!H700=Trades!I700, "N/A", (Trades!R700-Trades!H700)/(Trades!H700-Trades!I700)))</f>
        <v/>
      </c>
      <c r="V700" s="65" t="str">
        <f t="shared" si="83"/>
        <v/>
      </c>
      <c r="W700" s="66" t="str">
        <f t="shared" si="84"/>
        <v/>
      </c>
      <c r="X700" s="62" t="str">
        <f t="shared" si="85"/>
        <v/>
      </c>
      <c r="Y700" s="45"/>
      <c r="Z700" s="44"/>
      <c r="AA700" s="41"/>
      <c r="AB700" s="39"/>
      <c r="AC700" s="37" t="str">
        <f t="shared" si="86"/>
        <v/>
      </c>
    </row>
    <row r="701" spans="2:29" x14ac:dyDescent="0.25">
      <c r="B701" s="54">
        <v>695</v>
      </c>
      <c r="C701" s="168"/>
      <c r="D701" s="51"/>
      <c r="E701" s="29"/>
      <c r="F701" s="48"/>
      <c r="G701" s="29"/>
      <c r="H701" s="187"/>
      <c r="I701" s="187"/>
      <c r="J701" s="195"/>
      <c r="K701" s="86" t="str">
        <f t="shared" si="80"/>
        <v/>
      </c>
      <c r="L701" s="57" t="str">
        <f t="shared" si="87"/>
        <v/>
      </c>
      <c r="M701" s="186"/>
      <c r="N701" s="189"/>
      <c r="O701" s="190"/>
      <c r="P701" s="190" t="str">
        <f>IF(OR(ISBLANK(V701),COUNTBLANK(V701:$V$1048576)=ROWS(V701:$V$1048576)),"",$R$2*(1+SUM(V$7:V701)))</f>
        <v/>
      </c>
      <c r="Q701" s="191"/>
      <c r="R701" s="189"/>
      <c r="S701" s="53" t="str">
        <f t="shared" si="81"/>
        <v/>
      </c>
      <c r="T701" s="63" t="str">
        <f t="shared" si="82"/>
        <v/>
      </c>
      <c r="U701" s="64" t="str">
        <f>IF(OR(ISBLANK(Trades!R701), ISBLANK(Trades!H701), ISBLANK(Trades!I701)), "", IF(Trades!H701=Trades!I701, "N/A", (Trades!R701-Trades!H701)/(Trades!H701-Trades!I701)))</f>
        <v/>
      </c>
      <c r="V701" s="65" t="str">
        <f t="shared" si="83"/>
        <v/>
      </c>
      <c r="W701" s="66" t="str">
        <f t="shared" si="84"/>
        <v/>
      </c>
      <c r="X701" s="62" t="str">
        <f t="shared" si="85"/>
        <v/>
      </c>
      <c r="Y701" s="45"/>
      <c r="Z701" s="44"/>
      <c r="AA701" s="41"/>
      <c r="AB701" s="39"/>
      <c r="AC701" s="37" t="str">
        <f t="shared" si="86"/>
        <v/>
      </c>
    </row>
    <row r="702" spans="2:29" x14ac:dyDescent="0.25">
      <c r="B702" s="54">
        <v>696</v>
      </c>
      <c r="C702" s="168"/>
      <c r="D702" s="51"/>
      <c r="E702" s="29"/>
      <c r="F702" s="48"/>
      <c r="G702" s="29"/>
      <c r="H702" s="187"/>
      <c r="I702" s="187"/>
      <c r="J702" s="195"/>
      <c r="K702" s="86" t="str">
        <f t="shared" si="80"/>
        <v/>
      </c>
      <c r="L702" s="57" t="str">
        <f t="shared" si="87"/>
        <v/>
      </c>
      <c r="M702" s="186"/>
      <c r="N702" s="189"/>
      <c r="O702" s="190"/>
      <c r="P702" s="190" t="str">
        <f>IF(OR(ISBLANK(V702),COUNTBLANK(V702:$V$1048576)=ROWS(V702:$V$1048576)),"",$R$2*(1+SUM(V$7:V702)))</f>
        <v/>
      </c>
      <c r="Q702" s="191"/>
      <c r="R702" s="189"/>
      <c r="S702" s="53" t="str">
        <f t="shared" si="81"/>
        <v/>
      </c>
      <c r="T702" s="63" t="str">
        <f t="shared" si="82"/>
        <v/>
      </c>
      <c r="U702" s="64" t="str">
        <f>IF(OR(ISBLANK(Trades!R702), ISBLANK(Trades!H702), ISBLANK(Trades!I702)), "", IF(Trades!H702=Trades!I702, "N/A", (Trades!R702-Trades!H702)/(Trades!H702-Trades!I702)))</f>
        <v/>
      </c>
      <c r="V702" s="65" t="str">
        <f t="shared" si="83"/>
        <v/>
      </c>
      <c r="W702" s="66" t="str">
        <f t="shared" si="84"/>
        <v/>
      </c>
      <c r="X702" s="62" t="str">
        <f t="shared" si="85"/>
        <v/>
      </c>
      <c r="Y702" s="45"/>
      <c r="Z702" s="44"/>
      <c r="AA702" s="41"/>
      <c r="AB702" s="39"/>
      <c r="AC702" s="37" t="str">
        <f t="shared" si="86"/>
        <v/>
      </c>
    </row>
    <row r="703" spans="2:29" x14ac:dyDescent="0.25">
      <c r="B703" s="54">
        <v>697</v>
      </c>
      <c r="C703" s="168"/>
      <c r="D703" s="51"/>
      <c r="E703" s="29"/>
      <c r="F703" s="48"/>
      <c r="G703" s="29"/>
      <c r="H703" s="187"/>
      <c r="I703" s="187"/>
      <c r="J703" s="195"/>
      <c r="K703" s="86" t="str">
        <f t="shared" si="80"/>
        <v/>
      </c>
      <c r="L703" s="57" t="str">
        <f t="shared" si="87"/>
        <v/>
      </c>
      <c r="M703" s="186"/>
      <c r="N703" s="189"/>
      <c r="O703" s="190"/>
      <c r="P703" s="190" t="str">
        <f>IF(OR(ISBLANK(V703),COUNTBLANK(V703:$V$1048576)=ROWS(V703:$V$1048576)),"",$R$2*(1+SUM(V$7:V703)))</f>
        <v/>
      </c>
      <c r="Q703" s="191"/>
      <c r="R703" s="189"/>
      <c r="S703" s="53" t="str">
        <f t="shared" si="81"/>
        <v/>
      </c>
      <c r="T703" s="63" t="str">
        <f t="shared" si="82"/>
        <v/>
      </c>
      <c r="U703" s="64" t="str">
        <f>IF(OR(ISBLANK(Trades!R703), ISBLANK(Trades!H703), ISBLANK(Trades!I703)), "", IF(Trades!H703=Trades!I703, "N/A", (Trades!R703-Trades!H703)/(Trades!H703-Trades!I703)))</f>
        <v/>
      </c>
      <c r="V703" s="65" t="str">
        <f t="shared" si="83"/>
        <v/>
      </c>
      <c r="W703" s="66" t="str">
        <f t="shared" si="84"/>
        <v/>
      </c>
      <c r="X703" s="62" t="str">
        <f t="shared" si="85"/>
        <v/>
      </c>
      <c r="Y703" s="45"/>
      <c r="Z703" s="44"/>
      <c r="AA703" s="41"/>
      <c r="AB703" s="39"/>
      <c r="AC703" s="37" t="str">
        <f t="shared" si="86"/>
        <v/>
      </c>
    </row>
    <row r="704" spans="2:29" x14ac:dyDescent="0.25">
      <c r="B704" s="54">
        <v>698</v>
      </c>
      <c r="C704" s="168"/>
      <c r="D704" s="51"/>
      <c r="E704" s="29"/>
      <c r="F704" s="48"/>
      <c r="G704" s="29"/>
      <c r="H704" s="187"/>
      <c r="I704" s="187"/>
      <c r="J704" s="195"/>
      <c r="K704" s="86" t="str">
        <f t="shared" si="80"/>
        <v/>
      </c>
      <c r="L704" s="57" t="str">
        <f t="shared" si="87"/>
        <v/>
      </c>
      <c r="M704" s="186"/>
      <c r="N704" s="189"/>
      <c r="O704" s="190"/>
      <c r="P704" s="190" t="str">
        <f>IF(OR(ISBLANK(V704),COUNTBLANK(V704:$V$1048576)=ROWS(V704:$V$1048576)),"",$R$2*(1+SUM(V$7:V704)))</f>
        <v/>
      </c>
      <c r="Q704" s="191"/>
      <c r="R704" s="189"/>
      <c r="S704" s="53" t="str">
        <f t="shared" si="81"/>
        <v/>
      </c>
      <c r="T704" s="63" t="str">
        <f t="shared" si="82"/>
        <v/>
      </c>
      <c r="U704" s="64" t="str">
        <f>IF(OR(ISBLANK(Trades!R704), ISBLANK(Trades!H704), ISBLANK(Trades!I704)), "", IF(Trades!H704=Trades!I704, "N/A", (Trades!R704-Trades!H704)/(Trades!H704-Trades!I704)))</f>
        <v/>
      </c>
      <c r="V704" s="65" t="str">
        <f t="shared" si="83"/>
        <v/>
      </c>
      <c r="W704" s="66" t="str">
        <f t="shared" si="84"/>
        <v/>
      </c>
      <c r="X704" s="62" t="str">
        <f t="shared" si="85"/>
        <v/>
      </c>
      <c r="Y704" s="45"/>
      <c r="Z704" s="44"/>
      <c r="AA704" s="41"/>
      <c r="AB704" s="39"/>
      <c r="AC704" s="37" t="str">
        <f t="shared" si="86"/>
        <v/>
      </c>
    </row>
    <row r="705" spans="2:29" x14ac:dyDescent="0.25">
      <c r="B705" s="54">
        <v>699</v>
      </c>
      <c r="C705" s="168"/>
      <c r="D705" s="51"/>
      <c r="E705" s="29"/>
      <c r="F705" s="48"/>
      <c r="G705" s="29"/>
      <c r="H705" s="187"/>
      <c r="I705" s="187"/>
      <c r="J705" s="195"/>
      <c r="K705" s="86" t="str">
        <f t="shared" si="80"/>
        <v/>
      </c>
      <c r="L705" s="57" t="str">
        <f t="shared" si="87"/>
        <v/>
      </c>
      <c r="M705" s="186"/>
      <c r="N705" s="189"/>
      <c r="O705" s="190"/>
      <c r="P705" s="190" t="str">
        <f>IF(OR(ISBLANK(V705),COUNTBLANK(V705:$V$1048576)=ROWS(V705:$V$1048576)),"",$R$2*(1+SUM(V$7:V705)))</f>
        <v/>
      </c>
      <c r="Q705" s="191"/>
      <c r="R705" s="189"/>
      <c r="S705" s="53" t="str">
        <f t="shared" si="81"/>
        <v/>
      </c>
      <c r="T705" s="63" t="str">
        <f t="shared" si="82"/>
        <v/>
      </c>
      <c r="U705" s="64" t="str">
        <f>IF(OR(ISBLANK(Trades!R705), ISBLANK(Trades!H705), ISBLANK(Trades!I705)), "", IF(Trades!H705=Trades!I705, "N/A", (Trades!R705-Trades!H705)/(Trades!H705-Trades!I705)))</f>
        <v/>
      </c>
      <c r="V705" s="65" t="str">
        <f t="shared" si="83"/>
        <v/>
      </c>
      <c r="W705" s="66" t="str">
        <f t="shared" si="84"/>
        <v/>
      </c>
      <c r="X705" s="62" t="str">
        <f t="shared" si="85"/>
        <v/>
      </c>
      <c r="Y705" s="45"/>
      <c r="Z705" s="44"/>
      <c r="AA705" s="41"/>
      <c r="AB705" s="39"/>
      <c r="AC705" s="37" t="str">
        <f t="shared" si="86"/>
        <v/>
      </c>
    </row>
    <row r="706" spans="2:29" x14ac:dyDescent="0.25">
      <c r="B706" s="54">
        <v>700</v>
      </c>
      <c r="C706" s="168"/>
      <c r="D706" s="51"/>
      <c r="E706" s="29"/>
      <c r="F706" s="48"/>
      <c r="G706" s="29"/>
      <c r="H706" s="187"/>
      <c r="I706" s="187"/>
      <c r="J706" s="195"/>
      <c r="K706" s="86" t="str">
        <f t="shared" si="80"/>
        <v/>
      </c>
      <c r="L706" s="57" t="str">
        <f t="shared" si="87"/>
        <v/>
      </c>
      <c r="M706" s="186"/>
      <c r="N706" s="189"/>
      <c r="O706" s="190"/>
      <c r="P706" s="190" t="str">
        <f>IF(OR(ISBLANK(V706),COUNTBLANK(V706:$V$1048576)=ROWS(V706:$V$1048576)),"",$R$2*(1+SUM(V$7:V706)))</f>
        <v/>
      </c>
      <c r="Q706" s="191"/>
      <c r="R706" s="189"/>
      <c r="S706" s="53" t="str">
        <f t="shared" si="81"/>
        <v/>
      </c>
      <c r="T706" s="63" t="str">
        <f t="shared" si="82"/>
        <v/>
      </c>
      <c r="U706" s="64" t="str">
        <f>IF(OR(ISBLANK(Trades!R706), ISBLANK(Trades!H706), ISBLANK(Trades!I706)), "", IF(Trades!H706=Trades!I706, "N/A", (Trades!R706-Trades!H706)/(Trades!H706-Trades!I706)))</f>
        <v/>
      </c>
      <c r="V706" s="65" t="str">
        <f t="shared" si="83"/>
        <v/>
      </c>
      <c r="W706" s="66" t="str">
        <f t="shared" si="84"/>
        <v/>
      </c>
      <c r="X706" s="62" t="str">
        <f t="shared" si="85"/>
        <v/>
      </c>
      <c r="Y706" s="45"/>
      <c r="Z706" s="44"/>
      <c r="AA706" s="41"/>
      <c r="AB706" s="39"/>
      <c r="AC706" s="37" t="str">
        <f t="shared" si="86"/>
        <v/>
      </c>
    </row>
    <row r="707" spans="2:29" x14ac:dyDescent="0.25">
      <c r="B707" s="54">
        <v>701</v>
      </c>
      <c r="C707" s="168"/>
      <c r="D707" s="51"/>
      <c r="E707" s="29"/>
      <c r="F707" s="48"/>
      <c r="G707" s="29"/>
      <c r="H707" s="187"/>
      <c r="I707" s="187"/>
      <c r="J707" s="195"/>
      <c r="K707" s="86" t="str">
        <f t="shared" si="80"/>
        <v/>
      </c>
      <c r="L707" s="57" t="str">
        <f t="shared" si="87"/>
        <v/>
      </c>
      <c r="M707" s="186"/>
      <c r="N707" s="189"/>
      <c r="O707" s="190"/>
      <c r="P707" s="190" t="str">
        <f>IF(OR(ISBLANK(V707),COUNTBLANK(V707:$V$1048576)=ROWS(V707:$V$1048576)),"",$R$2*(1+SUM(V$7:V707)))</f>
        <v/>
      </c>
      <c r="Q707" s="191"/>
      <c r="R707" s="189"/>
      <c r="S707" s="53" t="str">
        <f t="shared" si="81"/>
        <v/>
      </c>
      <c r="T707" s="63" t="str">
        <f t="shared" si="82"/>
        <v/>
      </c>
      <c r="U707" s="64" t="str">
        <f>IF(OR(ISBLANK(Trades!R707), ISBLANK(Trades!H707), ISBLANK(Trades!I707)), "", IF(Trades!H707=Trades!I707, "N/A", (Trades!R707-Trades!H707)/(Trades!H707-Trades!I707)))</f>
        <v/>
      </c>
      <c r="V707" s="65" t="str">
        <f t="shared" si="83"/>
        <v/>
      </c>
      <c r="W707" s="66" t="str">
        <f t="shared" si="84"/>
        <v/>
      </c>
      <c r="X707" s="62" t="str">
        <f t="shared" si="85"/>
        <v/>
      </c>
      <c r="Y707" s="45"/>
      <c r="Z707" s="44"/>
      <c r="AA707" s="41"/>
      <c r="AB707" s="39"/>
      <c r="AC707" s="37" t="str">
        <f t="shared" si="86"/>
        <v/>
      </c>
    </row>
    <row r="708" spans="2:29" x14ac:dyDescent="0.25">
      <c r="B708" s="54">
        <v>702</v>
      </c>
      <c r="C708" s="168"/>
      <c r="D708" s="51"/>
      <c r="E708" s="29"/>
      <c r="F708" s="48"/>
      <c r="G708" s="29"/>
      <c r="H708" s="187"/>
      <c r="I708" s="187"/>
      <c r="J708" s="195"/>
      <c r="K708" s="86" t="str">
        <f t="shared" si="80"/>
        <v/>
      </c>
      <c r="L708" s="57" t="str">
        <f t="shared" si="87"/>
        <v/>
      </c>
      <c r="M708" s="186"/>
      <c r="N708" s="189"/>
      <c r="O708" s="190"/>
      <c r="P708" s="190" t="str">
        <f>IF(OR(ISBLANK(V708),COUNTBLANK(V708:$V$1048576)=ROWS(V708:$V$1048576)),"",$R$2*(1+SUM(V$7:V708)))</f>
        <v/>
      </c>
      <c r="Q708" s="191"/>
      <c r="R708" s="189"/>
      <c r="S708" s="53" t="str">
        <f t="shared" si="81"/>
        <v/>
      </c>
      <c r="T708" s="63" t="str">
        <f t="shared" si="82"/>
        <v/>
      </c>
      <c r="U708" s="64" t="str">
        <f>IF(OR(ISBLANK(Trades!R708), ISBLANK(Trades!H708), ISBLANK(Trades!I708)), "", IF(Trades!H708=Trades!I708, "N/A", (Trades!R708-Trades!H708)/(Trades!H708-Trades!I708)))</f>
        <v/>
      </c>
      <c r="V708" s="65" t="str">
        <f t="shared" si="83"/>
        <v/>
      </c>
      <c r="W708" s="66" t="str">
        <f t="shared" si="84"/>
        <v/>
      </c>
      <c r="X708" s="62" t="str">
        <f t="shared" si="85"/>
        <v/>
      </c>
      <c r="Y708" s="45"/>
      <c r="Z708" s="44"/>
      <c r="AA708" s="41"/>
      <c r="AB708" s="39"/>
      <c r="AC708" s="37" t="str">
        <f t="shared" si="86"/>
        <v/>
      </c>
    </row>
    <row r="709" spans="2:29" x14ac:dyDescent="0.25">
      <c r="B709" s="54">
        <v>703</v>
      </c>
      <c r="C709" s="168"/>
      <c r="D709" s="51"/>
      <c r="E709" s="29"/>
      <c r="F709" s="48"/>
      <c r="G709" s="29"/>
      <c r="H709" s="187"/>
      <c r="I709" s="187"/>
      <c r="J709" s="195"/>
      <c r="K709" s="86" t="str">
        <f t="shared" si="80"/>
        <v/>
      </c>
      <c r="L709" s="57" t="str">
        <f t="shared" si="87"/>
        <v/>
      </c>
      <c r="M709" s="186"/>
      <c r="N709" s="189"/>
      <c r="O709" s="190"/>
      <c r="P709" s="190" t="str">
        <f>IF(OR(ISBLANK(V709),COUNTBLANK(V709:$V$1048576)=ROWS(V709:$V$1048576)),"",$R$2*(1+SUM(V$7:V709)))</f>
        <v/>
      </c>
      <c r="Q709" s="191"/>
      <c r="R709" s="189"/>
      <c r="S709" s="53" t="str">
        <f t="shared" si="81"/>
        <v/>
      </c>
      <c r="T709" s="63" t="str">
        <f t="shared" si="82"/>
        <v/>
      </c>
      <c r="U709" s="64" t="str">
        <f>IF(OR(ISBLANK(Trades!R709), ISBLANK(Trades!H709), ISBLANK(Trades!I709)), "", IF(Trades!H709=Trades!I709, "N/A", (Trades!R709-Trades!H709)/(Trades!H709-Trades!I709)))</f>
        <v/>
      </c>
      <c r="V709" s="65" t="str">
        <f t="shared" si="83"/>
        <v/>
      </c>
      <c r="W709" s="66" t="str">
        <f t="shared" si="84"/>
        <v/>
      </c>
      <c r="X709" s="62" t="str">
        <f t="shared" si="85"/>
        <v/>
      </c>
      <c r="Y709" s="45"/>
      <c r="Z709" s="44"/>
      <c r="AA709" s="41"/>
      <c r="AB709" s="39"/>
      <c r="AC709" s="37" t="str">
        <f t="shared" si="86"/>
        <v/>
      </c>
    </row>
    <row r="710" spans="2:29" x14ac:dyDescent="0.25">
      <c r="B710" s="54">
        <v>704</v>
      </c>
      <c r="C710" s="168"/>
      <c r="D710" s="51"/>
      <c r="E710" s="29"/>
      <c r="F710" s="48"/>
      <c r="G710" s="29"/>
      <c r="H710" s="187"/>
      <c r="I710" s="187"/>
      <c r="J710" s="195"/>
      <c r="K710" s="86" t="str">
        <f t="shared" si="80"/>
        <v/>
      </c>
      <c r="L710" s="57" t="str">
        <f t="shared" si="87"/>
        <v/>
      </c>
      <c r="M710" s="186"/>
      <c r="N710" s="189"/>
      <c r="O710" s="190"/>
      <c r="P710" s="190" t="str">
        <f>IF(OR(ISBLANK(V710),COUNTBLANK(V710:$V$1048576)=ROWS(V710:$V$1048576)),"",$R$2*(1+SUM(V$7:V710)))</f>
        <v/>
      </c>
      <c r="Q710" s="191"/>
      <c r="R710" s="189"/>
      <c r="S710" s="53" t="str">
        <f t="shared" si="81"/>
        <v/>
      </c>
      <c r="T710" s="63" t="str">
        <f t="shared" si="82"/>
        <v/>
      </c>
      <c r="U710" s="64" t="str">
        <f>IF(OR(ISBLANK(Trades!R710), ISBLANK(Trades!H710), ISBLANK(Trades!I710)), "", IF(Trades!H710=Trades!I710, "N/A", (Trades!R710-Trades!H710)/(Trades!H710-Trades!I710)))</f>
        <v/>
      </c>
      <c r="V710" s="65" t="str">
        <f t="shared" si="83"/>
        <v/>
      </c>
      <c r="W710" s="66" t="str">
        <f t="shared" si="84"/>
        <v/>
      </c>
      <c r="X710" s="62" t="str">
        <f t="shared" si="85"/>
        <v/>
      </c>
      <c r="Y710" s="45"/>
      <c r="Z710" s="44"/>
      <c r="AA710" s="41"/>
      <c r="AB710" s="39"/>
      <c r="AC710" s="37" t="str">
        <f t="shared" si="86"/>
        <v/>
      </c>
    </row>
    <row r="711" spans="2:29" x14ac:dyDescent="0.25">
      <c r="B711" s="54">
        <v>705</v>
      </c>
      <c r="C711" s="168"/>
      <c r="D711" s="51"/>
      <c r="E711" s="29"/>
      <c r="F711" s="48"/>
      <c r="G711" s="29"/>
      <c r="H711" s="187"/>
      <c r="I711" s="187"/>
      <c r="J711" s="195"/>
      <c r="K711" s="86" t="str">
        <f t="shared" ref="K711:K774" si="88">IF(OR(ISBLANK(H711),ISBLANK(I711)),"",IF(H711 &lt; I711, "SHORT", IF(H711 &gt; I711, "LONG", "")))</f>
        <v/>
      </c>
      <c r="L711" s="57" t="str">
        <f t="shared" si="87"/>
        <v/>
      </c>
      <c r="M711" s="186"/>
      <c r="N711" s="189"/>
      <c r="O711" s="190"/>
      <c r="P711" s="190" t="str">
        <f>IF(OR(ISBLANK(V711),COUNTBLANK(V711:$V$1048576)=ROWS(V711:$V$1048576)),"",$R$2*(1+SUM(V$7:V711)))</f>
        <v/>
      </c>
      <c r="Q711" s="191"/>
      <c r="R711" s="189"/>
      <c r="S711" s="53" t="str">
        <f t="shared" ref="S711:S774" si="89">IF(COUNTIFS($C$7:$C$1000, "&lt;="&amp;C711, $X$7:$X$1000, "Win") = 0, "", IF(COUNTIFS($C$7:$C$1000, "&lt;="&amp;C711, $X$7:$X$1000, "&lt;&gt;"&amp;"") = 0, "", COUNTIFS($C$7:$C$1000, "&lt;="&amp;C711, $X$7:$X$1000, "Win")/COUNTIFS($C$7:$C$1000, "&lt;="&amp;C711, $X$7:$X$1000, "&lt;&gt;"&amp;"")))</f>
        <v/>
      </c>
      <c r="T711" s="63" t="str">
        <f t="shared" ref="T711:T774" si="90">IF(ISBLANK(R711),IF(ISBLANK(H711),"","Open"),"Closed")</f>
        <v/>
      </c>
      <c r="U711" s="64" t="str">
        <f>IF(OR(ISBLANK(Trades!R711), ISBLANK(Trades!H711), ISBLANK(Trades!I711)), "", IF(Trades!H711=Trades!I711, "N/A", (Trades!R711-Trades!H711)/(Trades!H711-Trades!I711)))</f>
        <v/>
      </c>
      <c r="V711" s="65" t="str">
        <f t="shared" ref="V711:V774" si="91">IF(U711="","",U711*F711)</f>
        <v/>
      </c>
      <c r="W711" s="66" t="str">
        <f t="shared" ref="W711:W774" si="92">IF(ISBLANK(R711),"",IF(H711&gt;I711,IF(I711&gt;=R711,"SL Hit",IF(O711&lt;&gt;"","PT3 Hit",IF(N711&lt;&gt;"","PT2 Hit",IF(M711&lt;&gt;"","PT1 Hit","")))),IF(I711&lt;=R711,"SL Hit",IF(O711&lt;&gt;"","PT3 Hit",IF(N711&lt;&gt;"","PT2 Hit",IF(M711&lt;&gt;"","PT1 Hit",""))))))</f>
        <v/>
      </c>
      <c r="X711" s="62" t="str">
        <f t="shared" ref="X711:X774" si="93">IF(ISBLANK(R711),"",IF(H711&gt;I711, IF(R711&gt;=H711, "Win", "Loss"), IF(R711&lt;=H711, "Win", "Loss")))</f>
        <v/>
      </c>
      <c r="Y711" s="45"/>
      <c r="Z711" s="44"/>
      <c r="AA711" s="41"/>
      <c r="AB711" s="39"/>
      <c r="AC711" s="37" t="str">
        <f t="shared" ref="AC711:AC774" si="94">IFERROR(COUNTIFS($C$7:$C$1000,"&gt;="&amp;DATE(YEAR(C711),MONTH(C711),1),$C$7:$C$1000,"&lt;="&amp;EOMONTH(C711,0),$X$7:$X$1000,"Win")/COUNTIFS($C$7:$C$1000,"&gt;="&amp;DATE(YEAR(C711),MONTH(C711),1),$C$7:$C$1000,"&lt;="&amp;EOMONTH(C711,0)),"")</f>
        <v/>
      </c>
    </row>
    <row r="712" spans="2:29" x14ac:dyDescent="0.25">
      <c r="B712" s="54">
        <v>706</v>
      </c>
      <c r="C712" s="168"/>
      <c r="D712" s="51"/>
      <c r="E712" s="29"/>
      <c r="F712" s="48"/>
      <c r="G712" s="29"/>
      <c r="H712" s="187"/>
      <c r="I712" s="187"/>
      <c r="J712" s="195"/>
      <c r="K712" s="86" t="str">
        <f t="shared" si="88"/>
        <v/>
      </c>
      <c r="L712" s="57" t="str">
        <f t="shared" si="87"/>
        <v/>
      </c>
      <c r="M712" s="186"/>
      <c r="N712" s="189"/>
      <c r="O712" s="190"/>
      <c r="P712" s="190" t="str">
        <f>IF(OR(ISBLANK(V712),COUNTBLANK(V712:$V$1048576)=ROWS(V712:$V$1048576)),"",$R$2*(1+SUM(V$7:V712)))</f>
        <v/>
      </c>
      <c r="Q712" s="191"/>
      <c r="R712" s="189"/>
      <c r="S712" s="53" t="str">
        <f t="shared" si="89"/>
        <v/>
      </c>
      <c r="T712" s="63" t="str">
        <f t="shared" si="90"/>
        <v/>
      </c>
      <c r="U712" s="64" t="str">
        <f>IF(OR(ISBLANK(Trades!R712), ISBLANK(Trades!H712), ISBLANK(Trades!I712)), "", IF(Trades!H712=Trades!I712, "N/A", (Trades!R712-Trades!H712)/(Trades!H712-Trades!I712)))</f>
        <v/>
      </c>
      <c r="V712" s="65" t="str">
        <f t="shared" si="91"/>
        <v/>
      </c>
      <c r="W712" s="66" t="str">
        <f t="shared" si="92"/>
        <v/>
      </c>
      <c r="X712" s="62" t="str">
        <f t="shared" si="93"/>
        <v/>
      </c>
      <c r="Y712" s="45"/>
      <c r="Z712" s="44"/>
      <c r="AA712" s="41"/>
      <c r="AB712" s="39"/>
      <c r="AC712" s="37" t="str">
        <f t="shared" si="94"/>
        <v/>
      </c>
    </row>
    <row r="713" spans="2:29" x14ac:dyDescent="0.25">
      <c r="B713" s="54">
        <v>707</v>
      </c>
      <c r="C713" s="168"/>
      <c r="D713" s="51"/>
      <c r="E713" s="29"/>
      <c r="F713" s="48"/>
      <c r="G713" s="29"/>
      <c r="H713" s="187"/>
      <c r="I713" s="187"/>
      <c r="J713" s="195"/>
      <c r="K713" s="86" t="str">
        <f t="shared" si="88"/>
        <v/>
      </c>
      <c r="L713" s="57" t="str">
        <f t="shared" si="87"/>
        <v/>
      </c>
      <c r="M713" s="186"/>
      <c r="N713" s="189"/>
      <c r="O713" s="190"/>
      <c r="P713" s="190" t="str">
        <f>IF(OR(ISBLANK(V713),COUNTBLANK(V713:$V$1048576)=ROWS(V713:$V$1048576)),"",$R$2*(1+SUM(V$7:V713)))</f>
        <v/>
      </c>
      <c r="Q713" s="191"/>
      <c r="R713" s="189"/>
      <c r="S713" s="53" t="str">
        <f t="shared" si="89"/>
        <v/>
      </c>
      <c r="T713" s="63" t="str">
        <f t="shared" si="90"/>
        <v/>
      </c>
      <c r="U713" s="64" t="str">
        <f>IF(OR(ISBLANK(Trades!R713), ISBLANK(Trades!H713), ISBLANK(Trades!I713)), "", IF(Trades!H713=Trades!I713, "N/A", (Trades!R713-Trades!H713)/(Trades!H713-Trades!I713)))</f>
        <v/>
      </c>
      <c r="V713" s="65" t="str">
        <f t="shared" si="91"/>
        <v/>
      </c>
      <c r="W713" s="66" t="str">
        <f t="shared" si="92"/>
        <v/>
      </c>
      <c r="X713" s="62" t="str">
        <f t="shared" si="93"/>
        <v/>
      </c>
      <c r="Y713" s="45"/>
      <c r="Z713" s="44"/>
      <c r="AA713" s="41"/>
      <c r="AB713" s="39"/>
      <c r="AC713" s="37" t="str">
        <f t="shared" si="94"/>
        <v/>
      </c>
    </row>
    <row r="714" spans="2:29" x14ac:dyDescent="0.25">
      <c r="B714" s="54">
        <v>708</v>
      </c>
      <c r="C714" s="168"/>
      <c r="D714" s="51"/>
      <c r="E714" s="29"/>
      <c r="F714" s="48"/>
      <c r="G714" s="29"/>
      <c r="H714" s="187"/>
      <c r="I714" s="187"/>
      <c r="J714" s="195"/>
      <c r="K714" s="86" t="str">
        <f t="shared" si="88"/>
        <v/>
      </c>
      <c r="L714" s="57" t="str">
        <f t="shared" si="87"/>
        <v/>
      </c>
      <c r="M714" s="186"/>
      <c r="N714" s="189"/>
      <c r="O714" s="190"/>
      <c r="P714" s="190" t="str">
        <f>IF(OR(ISBLANK(V714),COUNTBLANK(V714:$V$1048576)=ROWS(V714:$V$1048576)),"",$R$2*(1+SUM(V$7:V714)))</f>
        <v/>
      </c>
      <c r="Q714" s="191"/>
      <c r="R714" s="189"/>
      <c r="S714" s="53" t="str">
        <f t="shared" si="89"/>
        <v/>
      </c>
      <c r="T714" s="63" t="str">
        <f t="shared" si="90"/>
        <v/>
      </c>
      <c r="U714" s="64" t="str">
        <f>IF(OR(ISBLANK(Trades!R714), ISBLANK(Trades!H714), ISBLANK(Trades!I714)), "", IF(Trades!H714=Trades!I714, "N/A", (Trades!R714-Trades!H714)/(Trades!H714-Trades!I714)))</f>
        <v/>
      </c>
      <c r="V714" s="65" t="str">
        <f t="shared" si="91"/>
        <v/>
      </c>
      <c r="W714" s="66" t="str">
        <f t="shared" si="92"/>
        <v/>
      </c>
      <c r="X714" s="62" t="str">
        <f t="shared" si="93"/>
        <v/>
      </c>
      <c r="Y714" s="45"/>
      <c r="Z714" s="44"/>
      <c r="AA714" s="41"/>
      <c r="AB714" s="39"/>
      <c r="AC714" s="37" t="str">
        <f t="shared" si="94"/>
        <v/>
      </c>
    </row>
    <row r="715" spans="2:29" x14ac:dyDescent="0.25">
      <c r="B715" s="54">
        <v>709</v>
      </c>
      <c r="C715" s="168"/>
      <c r="D715" s="51"/>
      <c r="E715" s="29"/>
      <c r="F715" s="48"/>
      <c r="G715" s="29"/>
      <c r="H715" s="187"/>
      <c r="I715" s="187"/>
      <c r="J715" s="195"/>
      <c r="K715" s="86" t="str">
        <f t="shared" si="88"/>
        <v/>
      </c>
      <c r="L715" s="57" t="str">
        <f t="shared" si="87"/>
        <v/>
      </c>
      <c r="M715" s="186"/>
      <c r="N715" s="189"/>
      <c r="O715" s="190"/>
      <c r="P715" s="190" t="str">
        <f>IF(OR(ISBLANK(V715),COUNTBLANK(V715:$V$1048576)=ROWS(V715:$V$1048576)),"",$R$2*(1+SUM(V$7:V715)))</f>
        <v/>
      </c>
      <c r="Q715" s="191"/>
      <c r="R715" s="189"/>
      <c r="S715" s="53" t="str">
        <f t="shared" si="89"/>
        <v/>
      </c>
      <c r="T715" s="63" t="str">
        <f t="shared" si="90"/>
        <v/>
      </c>
      <c r="U715" s="64" t="str">
        <f>IF(OR(ISBLANK(Trades!R715), ISBLANK(Trades!H715), ISBLANK(Trades!I715)), "", IF(Trades!H715=Trades!I715, "N/A", (Trades!R715-Trades!H715)/(Trades!H715-Trades!I715)))</f>
        <v/>
      </c>
      <c r="V715" s="65" t="str">
        <f t="shared" si="91"/>
        <v/>
      </c>
      <c r="W715" s="66" t="str">
        <f t="shared" si="92"/>
        <v/>
      </c>
      <c r="X715" s="62" t="str">
        <f t="shared" si="93"/>
        <v/>
      </c>
      <c r="Y715" s="45"/>
      <c r="Z715" s="44"/>
      <c r="AA715" s="41"/>
      <c r="AB715" s="39"/>
      <c r="AC715" s="37" t="str">
        <f t="shared" si="94"/>
        <v/>
      </c>
    </row>
    <row r="716" spans="2:29" x14ac:dyDescent="0.25">
      <c r="B716" s="54">
        <v>710</v>
      </c>
      <c r="C716" s="168"/>
      <c r="D716" s="51"/>
      <c r="E716" s="29"/>
      <c r="F716" s="48"/>
      <c r="G716" s="29"/>
      <c r="H716" s="187"/>
      <c r="I716" s="187"/>
      <c r="J716" s="195"/>
      <c r="K716" s="86" t="str">
        <f t="shared" si="88"/>
        <v/>
      </c>
      <c r="L716" s="57" t="str">
        <f t="shared" ref="L716:L779" si="95">IF(OR(ISBLANK(J716),ISBLANK(H716),ISBLANK(I716)),"",ABS(J716-H716)/ABS(H716-I716))</f>
        <v/>
      </c>
      <c r="M716" s="186"/>
      <c r="N716" s="189"/>
      <c r="O716" s="190"/>
      <c r="P716" s="190" t="str">
        <f>IF(OR(ISBLANK(V716),COUNTBLANK(V716:$V$1048576)=ROWS(V716:$V$1048576)),"",$R$2*(1+SUM(V$7:V716)))</f>
        <v/>
      </c>
      <c r="Q716" s="191"/>
      <c r="R716" s="189"/>
      <c r="S716" s="53" t="str">
        <f t="shared" si="89"/>
        <v/>
      </c>
      <c r="T716" s="63" t="str">
        <f t="shared" si="90"/>
        <v/>
      </c>
      <c r="U716" s="64" t="str">
        <f>IF(OR(ISBLANK(Trades!R716), ISBLANK(Trades!H716), ISBLANK(Trades!I716)), "", IF(Trades!H716=Trades!I716, "N/A", (Trades!R716-Trades!H716)/(Trades!H716-Trades!I716)))</f>
        <v/>
      </c>
      <c r="V716" s="65" t="str">
        <f t="shared" si="91"/>
        <v/>
      </c>
      <c r="W716" s="66" t="str">
        <f t="shared" si="92"/>
        <v/>
      </c>
      <c r="X716" s="62" t="str">
        <f t="shared" si="93"/>
        <v/>
      </c>
      <c r="Y716" s="45"/>
      <c r="Z716" s="44"/>
      <c r="AA716" s="41"/>
      <c r="AB716" s="39"/>
      <c r="AC716" s="37" t="str">
        <f t="shared" si="94"/>
        <v/>
      </c>
    </row>
    <row r="717" spans="2:29" x14ac:dyDescent="0.25">
      <c r="B717" s="54">
        <v>711</v>
      </c>
      <c r="C717" s="168"/>
      <c r="D717" s="51"/>
      <c r="E717" s="29"/>
      <c r="F717" s="48"/>
      <c r="G717" s="29"/>
      <c r="H717" s="187"/>
      <c r="I717" s="187"/>
      <c r="J717" s="195"/>
      <c r="K717" s="86" t="str">
        <f t="shared" si="88"/>
        <v/>
      </c>
      <c r="L717" s="57" t="str">
        <f t="shared" si="95"/>
        <v/>
      </c>
      <c r="M717" s="186"/>
      <c r="N717" s="189"/>
      <c r="O717" s="190"/>
      <c r="P717" s="190" t="str">
        <f>IF(OR(ISBLANK(V717),COUNTBLANK(V717:$V$1048576)=ROWS(V717:$V$1048576)),"",$R$2*(1+SUM(V$7:V717)))</f>
        <v/>
      </c>
      <c r="Q717" s="191"/>
      <c r="R717" s="189"/>
      <c r="S717" s="53" t="str">
        <f t="shared" si="89"/>
        <v/>
      </c>
      <c r="T717" s="63" t="str">
        <f t="shared" si="90"/>
        <v/>
      </c>
      <c r="U717" s="64" t="str">
        <f>IF(OR(ISBLANK(Trades!R717), ISBLANK(Trades!H717), ISBLANK(Trades!I717)), "", IF(Trades!H717=Trades!I717, "N/A", (Trades!R717-Trades!H717)/(Trades!H717-Trades!I717)))</f>
        <v/>
      </c>
      <c r="V717" s="65" t="str">
        <f t="shared" si="91"/>
        <v/>
      </c>
      <c r="W717" s="66" t="str">
        <f t="shared" si="92"/>
        <v/>
      </c>
      <c r="X717" s="62" t="str">
        <f t="shared" si="93"/>
        <v/>
      </c>
      <c r="Y717" s="45"/>
      <c r="Z717" s="44"/>
      <c r="AA717" s="41"/>
      <c r="AB717" s="39"/>
      <c r="AC717" s="37" t="str">
        <f t="shared" si="94"/>
        <v/>
      </c>
    </row>
    <row r="718" spans="2:29" x14ac:dyDescent="0.25">
      <c r="B718" s="54">
        <v>712</v>
      </c>
      <c r="C718" s="168"/>
      <c r="D718" s="51"/>
      <c r="E718" s="29"/>
      <c r="F718" s="48"/>
      <c r="G718" s="29"/>
      <c r="H718" s="187"/>
      <c r="I718" s="187"/>
      <c r="J718" s="195"/>
      <c r="K718" s="86" t="str">
        <f t="shared" si="88"/>
        <v/>
      </c>
      <c r="L718" s="57" t="str">
        <f t="shared" si="95"/>
        <v/>
      </c>
      <c r="M718" s="186"/>
      <c r="N718" s="189"/>
      <c r="O718" s="190"/>
      <c r="P718" s="190" t="str">
        <f>IF(OR(ISBLANK(V718),COUNTBLANK(V718:$V$1048576)=ROWS(V718:$V$1048576)),"",$R$2*(1+SUM(V$7:V718)))</f>
        <v/>
      </c>
      <c r="Q718" s="191"/>
      <c r="R718" s="189"/>
      <c r="S718" s="53" t="str">
        <f t="shared" si="89"/>
        <v/>
      </c>
      <c r="T718" s="63" t="str">
        <f t="shared" si="90"/>
        <v/>
      </c>
      <c r="U718" s="64" t="str">
        <f>IF(OR(ISBLANK(Trades!R718), ISBLANK(Trades!H718), ISBLANK(Trades!I718)), "", IF(Trades!H718=Trades!I718, "N/A", (Trades!R718-Trades!H718)/(Trades!H718-Trades!I718)))</f>
        <v/>
      </c>
      <c r="V718" s="65" t="str">
        <f t="shared" si="91"/>
        <v/>
      </c>
      <c r="W718" s="66" t="str">
        <f t="shared" si="92"/>
        <v/>
      </c>
      <c r="X718" s="62" t="str">
        <f t="shared" si="93"/>
        <v/>
      </c>
      <c r="Y718" s="45"/>
      <c r="Z718" s="44"/>
      <c r="AA718" s="41"/>
      <c r="AB718" s="39"/>
      <c r="AC718" s="37" t="str">
        <f t="shared" si="94"/>
        <v/>
      </c>
    </row>
    <row r="719" spans="2:29" x14ac:dyDescent="0.25">
      <c r="B719" s="54">
        <v>713</v>
      </c>
      <c r="C719" s="168"/>
      <c r="D719" s="51"/>
      <c r="E719" s="29"/>
      <c r="F719" s="48"/>
      <c r="G719" s="29"/>
      <c r="H719" s="187"/>
      <c r="I719" s="187"/>
      <c r="J719" s="195"/>
      <c r="K719" s="86" t="str">
        <f t="shared" si="88"/>
        <v/>
      </c>
      <c r="L719" s="57" t="str">
        <f t="shared" si="95"/>
        <v/>
      </c>
      <c r="M719" s="186"/>
      <c r="N719" s="189"/>
      <c r="O719" s="190"/>
      <c r="P719" s="190" t="str">
        <f>IF(OR(ISBLANK(V719),COUNTBLANK(V719:$V$1048576)=ROWS(V719:$V$1048576)),"",$R$2*(1+SUM(V$7:V719)))</f>
        <v/>
      </c>
      <c r="Q719" s="191"/>
      <c r="R719" s="189"/>
      <c r="S719" s="53" t="str">
        <f t="shared" si="89"/>
        <v/>
      </c>
      <c r="T719" s="63" t="str">
        <f t="shared" si="90"/>
        <v/>
      </c>
      <c r="U719" s="64" t="str">
        <f>IF(OR(ISBLANK(Trades!R719), ISBLANK(Trades!H719), ISBLANK(Trades!I719)), "", IF(Trades!H719=Trades!I719, "N/A", (Trades!R719-Trades!H719)/(Trades!H719-Trades!I719)))</f>
        <v/>
      </c>
      <c r="V719" s="65" t="str">
        <f t="shared" si="91"/>
        <v/>
      </c>
      <c r="W719" s="66" t="str">
        <f t="shared" si="92"/>
        <v/>
      </c>
      <c r="X719" s="62" t="str">
        <f t="shared" si="93"/>
        <v/>
      </c>
      <c r="Y719" s="45"/>
      <c r="Z719" s="44"/>
      <c r="AA719" s="41"/>
      <c r="AB719" s="39"/>
      <c r="AC719" s="37" t="str">
        <f t="shared" si="94"/>
        <v/>
      </c>
    </row>
    <row r="720" spans="2:29" x14ac:dyDescent="0.25">
      <c r="B720" s="54">
        <v>714</v>
      </c>
      <c r="C720" s="168"/>
      <c r="D720" s="51"/>
      <c r="E720" s="29"/>
      <c r="F720" s="48"/>
      <c r="G720" s="29"/>
      <c r="H720" s="187"/>
      <c r="I720" s="187"/>
      <c r="J720" s="195"/>
      <c r="K720" s="86" t="str">
        <f t="shared" si="88"/>
        <v/>
      </c>
      <c r="L720" s="57" t="str">
        <f t="shared" si="95"/>
        <v/>
      </c>
      <c r="M720" s="186"/>
      <c r="N720" s="189"/>
      <c r="O720" s="190"/>
      <c r="P720" s="190" t="str">
        <f>IF(OR(ISBLANK(V720),COUNTBLANK(V720:$V$1048576)=ROWS(V720:$V$1048576)),"",$R$2*(1+SUM(V$7:V720)))</f>
        <v/>
      </c>
      <c r="Q720" s="191"/>
      <c r="R720" s="189"/>
      <c r="S720" s="53" t="str">
        <f t="shared" si="89"/>
        <v/>
      </c>
      <c r="T720" s="63" t="str">
        <f t="shared" si="90"/>
        <v/>
      </c>
      <c r="U720" s="64" t="str">
        <f>IF(OR(ISBLANK(Trades!R720), ISBLANK(Trades!H720), ISBLANK(Trades!I720)), "", IF(Trades!H720=Trades!I720, "N/A", (Trades!R720-Trades!H720)/(Trades!H720-Trades!I720)))</f>
        <v/>
      </c>
      <c r="V720" s="65" t="str">
        <f t="shared" si="91"/>
        <v/>
      </c>
      <c r="W720" s="66" t="str">
        <f t="shared" si="92"/>
        <v/>
      </c>
      <c r="X720" s="62" t="str">
        <f t="shared" si="93"/>
        <v/>
      </c>
      <c r="Y720" s="45"/>
      <c r="Z720" s="44"/>
      <c r="AA720" s="41"/>
      <c r="AB720" s="39"/>
      <c r="AC720" s="37" t="str">
        <f t="shared" si="94"/>
        <v/>
      </c>
    </row>
    <row r="721" spans="2:29" x14ac:dyDescent="0.25">
      <c r="B721" s="54">
        <v>715</v>
      </c>
      <c r="C721" s="168"/>
      <c r="D721" s="51"/>
      <c r="E721" s="29"/>
      <c r="F721" s="48"/>
      <c r="G721" s="29"/>
      <c r="H721" s="187"/>
      <c r="I721" s="187"/>
      <c r="J721" s="195"/>
      <c r="K721" s="86" t="str">
        <f t="shared" si="88"/>
        <v/>
      </c>
      <c r="L721" s="57" t="str">
        <f t="shared" si="95"/>
        <v/>
      </c>
      <c r="M721" s="186"/>
      <c r="N721" s="189"/>
      <c r="O721" s="190"/>
      <c r="P721" s="190" t="str">
        <f>IF(OR(ISBLANK(V721),COUNTBLANK(V721:$V$1048576)=ROWS(V721:$V$1048576)),"",$R$2*(1+SUM(V$7:V721)))</f>
        <v/>
      </c>
      <c r="Q721" s="191"/>
      <c r="R721" s="189"/>
      <c r="S721" s="53" t="str">
        <f t="shared" si="89"/>
        <v/>
      </c>
      <c r="T721" s="63" t="str">
        <f t="shared" si="90"/>
        <v/>
      </c>
      <c r="U721" s="64" t="str">
        <f>IF(OR(ISBLANK(Trades!R721), ISBLANK(Trades!H721), ISBLANK(Trades!I721)), "", IF(Trades!H721=Trades!I721, "N/A", (Trades!R721-Trades!H721)/(Trades!H721-Trades!I721)))</f>
        <v/>
      </c>
      <c r="V721" s="65" t="str">
        <f t="shared" si="91"/>
        <v/>
      </c>
      <c r="W721" s="66" t="str">
        <f t="shared" si="92"/>
        <v/>
      </c>
      <c r="X721" s="62" t="str">
        <f t="shared" si="93"/>
        <v/>
      </c>
      <c r="Y721" s="45"/>
      <c r="Z721" s="44"/>
      <c r="AA721" s="41"/>
      <c r="AB721" s="39"/>
      <c r="AC721" s="37" t="str">
        <f t="shared" si="94"/>
        <v/>
      </c>
    </row>
    <row r="722" spans="2:29" x14ac:dyDescent="0.25">
      <c r="B722" s="54">
        <v>716</v>
      </c>
      <c r="C722" s="168"/>
      <c r="D722" s="51"/>
      <c r="E722" s="29"/>
      <c r="F722" s="48"/>
      <c r="G722" s="29"/>
      <c r="H722" s="187"/>
      <c r="I722" s="187"/>
      <c r="J722" s="195"/>
      <c r="K722" s="86" t="str">
        <f t="shared" si="88"/>
        <v/>
      </c>
      <c r="L722" s="57" t="str">
        <f t="shared" si="95"/>
        <v/>
      </c>
      <c r="M722" s="186"/>
      <c r="N722" s="189"/>
      <c r="O722" s="190"/>
      <c r="P722" s="190" t="str">
        <f>IF(OR(ISBLANK(V722),COUNTBLANK(V722:$V$1048576)=ROWS(V722:$V$1048576)),"",$R$2*(1+SUM(V$7:V722)))</f>
        <v/>
      </c>
      <c r="Q722" s="191"/>
      <c r="R722" s="189"/>
      <c r="S722" s="53" t="str">
        <f t="shared" si="89"/>
        <v/>
      </c>
      <c r="T722" s="63" t="str">
        <f t="shared" si="90"/>
        <v/>
      </c>
      <c r="U722" s="64" t="str">
        <f>IF(OR(ISBLANK(Trades!R722), ISBLANK(Trades!H722), ISBLANK(Trades!I722)), "", IF(Trades!H722=Trades!I722, "N/A", (Trades!R722-Trades!H722)/(Trades!H722-Trades!I722)))</f>
        <v/>
      </c>
      <c r="V722" s="65" t="str">
        <f t="shared" si="91"/>
        <v/>
      </c>
      <c r="W722" s="66" t="str">
        <f t="shared" si="92"/>
        <v/>
      </c>
      <c r="X722" s="62" t="str">
        <f t="shared" si="93"/>
        <v/>
      </c>
      <c r="Y722" s="45"/>
      <c r="Z722" s="44"/>
      <c r="AA722" s="41"/>
      <c r="AB722" s="39"/>
      <c r="AC722" s="37" t="str">
        <f t="shared" si="94"/>
        <v/>
      </c>
    </row>
    <row r="723" spans="2:29" x14ac:dyDescent="0.25">
      <c r="B723" s="54">
        <v>717</v>
      </c>
      <c r="C723" s="168"/>
      <c r="D723" s="51"/>
      <c r="E723" s="29"/>
      <c r="F723" s="48"/>
      <c r="G723" s="29"/>
      <c r="H723" s="187"/>
      <c r="I723" s="187"/>
      <c r="J723" s="195"/>
      <c r="K723" s="86" t="str">
        <f t="shared" si="88"/>
        <v/>
      </c>
      <c r="L723" s="57" t="str">
        <f t="shared" si="95"/>
        <v/>
      </c>
      <c r="M723" s="186"/>
      <c r="N723" s="189"/>
      <c r="O723" s="190"/>
      <c r="P723" s="190" t="str">
        <f>IF(OR(ISBLANK(V723),COUNTBLANK(V723:$V$1048576)=ROWS(V723:$V$1048576)),"",$R$2*(1+SUM(V$7:V723)))</f>
        <v/>
      </c>
      <c r="Q723" s="191"/>
      <c r="R723" s="189"/>
      <c r="S723" s="53" t="str">
        <f t="shared" si="89"/>
        <v/>
      </c>
      <c r="T723" s="63" t="str">
        <f t="shared" si="90"/>
        <v/>
      </c>
      <c r="U723" s="64" t="str">
        <f>IF(OR(ISBLANK(Trades!R723), ISBLANK(Trades!H723), ISBLANK(Trades!I723)), "", IF(Trades!H723=Trades!I723, "N/A", (Trades!R723-Trades!H723)/(Trades!H723-Trades!I723)))</f>
        <v/>
      </c>
      <c r="V723" s="65" t="str">
        <f t="shared" si="91"/>
        <v/>
      </c>
      <c r="W723" s="66" t="str">
        <f t="shared" si="92"/>
        <v/>
      </c>
      <c r="X723" s="62" t="str">
        <f t="shared" si="93"/>
        <v/>
      </c>
      <c r="Y723" s="45"/>
      <c r="Z723" s="44"/>
      <c r="AA723" s="41"/>
      <c r="AB723" s="39"/>
      <c r="AC723" s="37" t="str">
        <f t="shared" si="94"/>
        <v/>
      </c>
    </row>
    <row r="724" spans="2:29" x14ac:dyDescent="0.25">
      <c r="B724" s="54">
        <v>718</v>
      </c>
      <c r="C724" s="168"/>
      <c r="D724" s="51"/>
      <c r="E724" s="29"/>
      <c r="F724" s="48"/>
      <c r="G724" s="29"/>
      <c r="H724" s="187"/>
      <c r="I724" s="187"/>
      <c r="J724" s="195"/>
      <c r="K724" s="86" t="str">
        <f t="shared" si="88"/>
        <v/>
      </c>
      <c r="L724" s="57" t="str">
        <f t="shared" si="95"/>
        <v/>
      </c>
      <c r="M724" s="186"/>
      <c r="N724" s="189"/>
      <c r="O724" s="190"/>
      <c r="P724" s="190" t="str">
        <f>IF(OR(ISBLANK(V724),COUNTBLANK(V724:$V$1048576)=ROWS(V724:$V$1048576)),"",$R$2*(1+SUM(V$7:V724)))</f>
        <v/>
      </c>
      <c r="Q724" s="191"/>
      <c r="R724" s="189"/>
      <c r="S724" s="53" t="str">
        <f t="shared" si="89"/>
        <v/>
      </c>
      <c r="T724" s="63" t="str">
        <f t="shared" si="90"/>
        <v/>
      </c>
      <c r="U724" s="64" t="str">
        <f>IF(OR(ISBLANK(Trades!R724), ISBLANK(Trades!H724), ISBLANK(Trades!I724)), "", IF(Trades!H724=Trades!I724, "N/A", (Trades!R724-Trades!H724)/(Trades!H724-Trades!I724)))</f>
        <v/>
      </c>
      <c r="V724" s="65" t="str">
        <f t="shared" si="91"/>
        <v/>
      </c>
      <c r="W724" s="66" t="str">
        <f t="shared" si="92"/>
        <v/>
      </c>
      <c r="X724" s="62" t="str">
        <f t="shared" si="93"/>
        <v/>
      </c>
      <c r="Y724" s="45"/>
      <c r="Z724" s="44"/>
      <c r="AA724" s="41"/>
      <c r="AB724" s="39"/>
      <c r="AC724" s="37" t="str">
        <f t="shared" si="94"/>
        <v/>
      </c>
    </row>
    <row r="725" spans="2:29" x14ac:dyDescent="0.25">
      <c r="B725" s="54">
        <v>719</v>
      </c>
      <c r="C725" s="168"/>
      <c r="D725" s="51"/>
      <c r="E725" s="29"/>
      <c r="F725" s="48"/>
      <c r="G725" s="29"/>
      <c r="H725" s="187"/>
      <c r="I725" s="187"/>
      <c r="J725" s="195"/>
      <c r="K725" s="86" t="str">
        <f t="shared" si="88"/>
        <v/>
      </c>
      <c r="L725" s="57" t="str">
        <f t="shared" si="95"/>
        <v/>
      </c>
      <c r="M725" s="186"/>
      <c r="N725" s="189"/>
      <c r="O725" s="190"/>
      <c r="P725" s="190" t="str">
        <f>IF(OR(ISBLANK(V725),COUNTBLANK(V725:$V$1048576)=ROWS(V725:$V$1048576)),"",$R$2*(1+SUM(V$7:V725)))</f>
        <v/>
      </c>
      <c r="Q725" s="191"/>
      <c r="R725" s="189"/>
      <c r="S725" s="53" t="str">
        <f t="shared" si="89"/>
        <v/>
      </c>
      <c r="T725" s="63" t="str">
        <f t="shared" si="90"/>
        <v/>
      </c>
      <c r="U725" s="64" t="str">
        <f>IF(OR(ISBLANK(Trades!R725), ISBLANK(Trades!H725), ISBLANK(Trades!I725)), "", IF(Trades!H725=Trades!I725, "N/A", (Trades!R725-Trades!H725)/(Trades!H725-Trades!I725)))</f>
        <v/>
      </c>
      <c r="V725" s="65" t="str">
        <f t="shared" si="91"/>
        <v/>
      </c>
      <c r="W725" s="66" t="str">
        <f t="shared" si="92"/>
        <v/>
      </c>
      <c r="X725" s="62" t="str">
        <f t="shared" si="93"/>
        <v/>
      </c>
      <c r="Y725" s="45"/>
      <c r="Z725" s="44"/>
      <c r="AA725" s="41"/>
      <c r="AB725" s="39"/>
      <c r="AC725" s="37" t="str">
        <f t="shared" si="94"/>
        <v/>
      </c>
    </row>
    <row r="726" spans="2:29" x14ac:dyDescent="0.25">
      <c r="B726" s="54">
        <v>720</v>
      </c>
      <c r="C726" s="168"/>
      <c r="D726" s="51"/>
      <c r="E726" s="29"/>
      <c r="F726" s="48"/>
      <c r="G726" s="29"/>
      <c r="H726" s="187"/>
      <c r="I726" s="187"/>
      <c r="J726" s="195"/>
      <c r="K726" s="86" t="str">
        <f t="shared" si="88"/>
        <v/>
      </c>
      <c r="L726" s="57" t="str">
        <f t="shared" si="95"/>
        <v/>
      </c>
      <c r="M726" s="186"/>
      <c r="N726" s="189"/>
      <c r="O726" s="190"/>
      <c r="P726" s="190" t="str">
        <f>IF(OR(ISBLANK(V726),COUNTBLANK(V726:$V$1048576)=ROWS(V726:$V$1048576)),"",$R$2*(1+SUM(V$7:V726)))</f>
        <v/>
      </c>
      <c r="Q726" s="191"/>
      <c r="R726" s="189"/>
      <c r="S726" s="53" t="str">
        <f t="shared" si="89"/>
        <v/>
      </c>
      <c r="T726" s="63" t="str">
        <f t="shared" si="90"/>
        <v/>
      </c>
      <c r="U726" s="64" t="str">
        <f>IF(OR(ISBLANK(Trades!R726), ISBLANK(Trades!H726), ISBLANK(Trades!I726)), "", IF(Trades!H726=Trades!I726, "N/A", (Trades!R726-Trades!H726)/(Trades!H726-Trades!I726)))</f>
        <v/>
      </c>
      <c r="V726" s="65" t="str">
        <f t="shared" si="91"/>
        <v/>
      </c>
      <c r="W726" s="66" t="str">
        <f t="shared" si="92"/>
        <v/>
      </c>
      <c r="X726" s="62" t="str">
        <f t="shared" si="93"/>
        <v/>
      </c>
      <c r="Y726" s="45"/>
      <c r="Z726" s="44"/>
      <c r="AA726" s="41"/>
      <c r="AB726" s="39"/>
      <c r="AC726" s="37" t="str">
        <f t="shared" si="94"/>
        <v/>
      </c>
    </row>
    <row r="727" spans="2:29" x14ac:dyDescent="0.25">
      <c r="B727" s="54">
        <v>721</v>
      </c>
      <c r="C727" s="168"/>
      <c r="D727" s="51"/>
      <c r="E727" s="29"/>
      <c r="F727" s="48"/>
      <c r="G727" s="29"/>
      <c r="H727" s="187"/>
      <c r="I727" s="187"/>
      <c r="J727" s="195"/>
      <c r="K727" s="86" t="str">
        <f t="shared" si="88"/>
        <v/>
      </c>
      <c r="L727" s="57" t="str">
        <f t="shared" si="95"/>
        <v/>
      </c>
      <c r="M727" s="186"/>
      <c r="N727" s="189"/>
      <c r="O727" s="190"/>
      <c r="P727" s="190" t="str">
        <f>IF(OR(ISBLANK(V727),COUNTBLANK(V727:$V$1048576)=ROWS(V727:$V$1048576)),"",$R$2*(1+SUM(V$7:V727)))</f>
        <v/>
      </c>
      <c r="Q727" s="191"/>
      <c r="R727" s="189"/>
      <c r="S727" s="53" t="str">
        <f t="shared" si="89"/>
        <v/>
      </c>
      <c r="T727" s="63" t="str">
        <f t="shared" si="90"/>
        <v/>
      </c>
      <c r="U727" s="64" t="str">
        <f>IF(OR(ISBLANK(Trades!R727), ISBLANK(Trades!H727), ISBLANK(Trades!I727)), "", IF(Trades!H727=Trades!I727, "N/A", (Trades!R727-Trades!H727)/(Trades!H727-Trades!I727)))</f>
        <v/>
      </c>
      <c r="V727" s="65" t="str">
        <f t="shared" si="91"/>
        <v/>
      </c>
      <c r="W727" s="66" t="str">
        <f t="shared" si="92"/>
        <v/>
      </c>
      <c r="X727" s="62" t="str">
        <f t="shared" si="93"/>
        <v/>
      </c>
      <c r="Y727" s="45"/>
      <c r="Z727" s="44"/>
      <c r="AA727" s="41"/>
      <c r="AB727" s="39"/>
      <c r="AC727" s="37" t="str">
        <f t="shared" si="94"/>
        <v/>
      </c>
    </row>
    <row r="728" spans="2:29" x14ac:dyDescent="0.25">
      <c r="B728" s="54">
        <v>722</v>
      </c>
      <c r="C728" s="168"/>
      <c r="D728" s="51"/>
      <c r="E728" s="29"/>
      <c r="F728" s="48"/>
      <c r="G728" s="29"/>
      <c r="H728" s="187"/>
      <c r="I728" s="187"/>
      <c r="J728" s="195"/>
      <c r="K728" s="86" t="str">
        <f t="shared" si="88"/>
        <v/>
      </c>
      <c r="L728" s="57" t="str">
        <f t="shared" si="95"/>
        <v/>
      </c>
      <c r="M728" s="186"/>
      <c r="N728" s="189"/>
      <c r="O728" s="190"/>
      <c r="P728" s="190" t="str">
        <f>IF(OR(ISBLANK(V728),COUNTBLANK(V728:$V$1048576)=ROWS(V728:$V$1048576)),"",$R$2*(1+SUM(V$7:V728)))</f>
        <v/>
      </c>
      <c r="Q728" s="191"/>
      <c r="R728" s="189"/>
      <c r="S728" s="53" t="str">
        <f t="shared" si="89"/>
        <v/>
      </c>
      <c r="T728" s="63" t="str">
        <f t="shared" si="90"/>
        <v/>
      </c>
      <c r="U728" s="64" t="str">
        <f>IF(OR(ISBLANK(Trades!R728), ISBLANK(Trades!H728), ISBLANK(Trades!I728)), "", IF(Trades!H728=Trades!I728, "N/A", (Trades!R728-Trades!H728)/(Trades!H728-Trades!I728)))</f>
        <v/>
      </c>
      <c r="V728" s="65" t="str">
        <f t="shared" si="91"/>
        <v/>
      </c>
      <c r="W728" s="66" t="str">
        <f t="shared" si="92"/>
        <v/>
      </c>
      <c r="X728" s="62" t="str">
        <f t="shared" si="93"/>
        <v/>
      </c>
      <c r="Y728" s="45"/>
      <c r="Z728" s="44"/>
      <c r="AA728" s="41"/>
      <c r="AB728" s="39"/>
      <c r="AC728" s="37" t="str">
        <f t="shared" si="94"/>
        <v/>
      </c>
    </row>
    <row r="729" spans="2:29" x14ac:dyDescent="0.25">
      <c r="B729" s="54">
        <v>723</v>
      </c>
      <c r="C729" s="168"/>
      <c r="D729" s="51"/>
      <c r="E729" s="29"/>
      <c r="F729" s="48"/>
      <c r="G729" s="29"/>
      <c r="H729" s="187"/>
      <c r="I729" s="187"/>
      <c r="J729" s="195"/>
      <c r="K729" s="86" t="str">
        <f t="shared" si="88"/>
        <v/>
      </c>
      <c r="L729" s="57" t="str">
        <f t="shared" si="95"/>
        <v/>
      </c>
      <c r="M729" s="186"/>
      <c r="N729" s="189"/>
      <c r="O729" s="190"/>
      <c r="P729" s="190" t="str">
        <f>IF(OR(ISBLANK(V729),COUNTBLANK(V729:$V$1048576)=ROWS(V729:$V$1048576)),"",$R$2*(1+SUM(V$7:V729)))</f>
        <v/>
      </c>
      <c r="Q729" s="191"/>
      <c r="R729" s="189"/>
      <c r="S729" s="53" t="str">
        <f t="shared" si="89"/>
        <v/>
      </c>
      <c r="T729" s="63" t="str">
        <f t="shared" si="90"/>
        <v/>
      </c>
      <c r="U729" s="64" t="str">
        <f>IF(OR(ISBLANK(Trades!R729), ISBLANK(Trades!H729), ISBLANK(Trades!I729)), "", IF(Trades!H729=Trades!I729, "N/A", (Trades!R729-Trades!H729)/(Trades!H729-Trades!I729)))</f>
        <v/>
      </c>
      <c r="V729" s="65" t="str">
        <f t="shared" si="91"/>
        <v/>
      </c>
      <c r="W729" s="66" t="str">
        <f t="shared" si="92"/>
        <v/>
      </c>
      <c r="X729" s="62" t="str">
        <f t="shared" si="93"/>
        <v/>
      </c>
      <c r="Y729" s="45"/>
      <c r="Z729" s="44"/>
      <c r="AA729" s="41"/>
      <c r="AB729" s="39"/>
      <c r="AC729" s="37" t="str">
        <f t="shared" si="94"/>
        <v/>
      </c>
    </row>
    <row r="730" spans="2:29" x14ac:dyDescent="0.25">
      <c r="B730" s="54">
        <v>724</v>
      </c>
      <c r="C730" s="168"/>
      <c r="D730" s="51"/>
      <c r="E730" s="29"/>
      <c r="F730" s="48"/>
      <c r="G730" s="29"/>
      <c r="H730" s="187"/>
      <c r="I730" s="187"/>
      <c r="J730" s="195"/>
      <c r="K730" s="86" t="str">
        <f t="shared" si="88"/>
        <v/>
      </c>
      <c r="L730" s="57" t="str">
        <f t="shared" si="95"/>
        <v/>
      </c>
      <c r="M730" s="186"/>
      <c r="N730" s="189"/>
      <c r="O730" s="190"/>
      <c r="P730" s="190" t="str">
        <f>IF(OR(ISBLANK(V730),COUNTBLANK(V730:$V$1048576)=ROWS(V730:$V$1048576)),"",$R$2*(1+SUM(V$7:V730)))</f>
        <v/>
      </c>
      <c r="Q730" s="191"/>
      <c r="R730" s="189"/>
      <c r="S730" s="53" t="str">
        <f t="shared" si="89"/>
        <v/>
      </c>
      <c r="T730" s="63" t="str">
        <f t="shared" si="90"/>
        <v/>
      </c>
      <c r="U730" s="64" t="str">
        <f>IF(OR(ISBLANK(Trades!R730), ISBLANK(Trades!H730), ISBLANK(Trades!I730)), "", IF(Trades!H730=Trades!I730, "N/A", (Trades!R730-Trades!H730)/(Trades!H730-Trades!I730)))</f>
        <v/>
      </c>
      <c r="V730" s="65" t="str">
        <f t="shared" si="91"/>
        <v/>
      </c>
      <c r="W730" s="66" t="str">
        <f t="shared" si="92"/>
        <v/>
      </c>
      <c r="X730" s="62" t="str">
        <f t="shared" si="93"/>
        <v/>
      </c>
      <c r="Y730" s="45"/>
      <c r="Z730" s="44"/>
      <c r="AA730" s="41"/>
      <c r="AB730" s="39"/>
      <c r="AC730" s="37" t="str">
        <f t="shared" si="94"/>
        <v/>
      </c>
    </row>
    <row r="731" spans="2:29" x14ac:dyDescent="0.25">
      <c r="B731" s="54">
        <v>725</v>
      </c>
      <c r="C731" s="168"/>
      <c r="D731" s="51"/>
      <c r="E731" s="29"/>
      <c r="F731" s="48"/>
      <c r="G731" s="29"/>
      <c r="H731" s="187"/>
      <c r="I731" s="187"/>
      <c r="J731" s="195"/>
      <c r="K731" s="86" t="str">
        <f t="shared" si="88"/>
        <v/>
      </c>
      <c r="L731" s="57" t="str">
        <f t="shared" si="95"/>
        <v/>
      </c>
      <c r="M731" s="186"/>
      <c r="N731" s="189"/>
      <c r="O731" s="190"/>
      <c r="P731" s="190" t="str">
        <f>IF(OR(ISBLANK(V731),COUNTBLANK(V731:$V$1048576)=ROWS(V731:$V$1048576)),"",$R$2*(1+SUM(V$7:V731)))</f>
        <v/>
      </c>
      <c r="Q731" s="191"/>
      <c r="R731" s="189"/>
      <c r="S731" s="53" t="str">
        <f t="shared" si="89"/>
        <v/>
      </c>
      <c r="T731" s="63" t="str">
        <f t="shared" si="90"/>
        <v/>
      </c>
      <c r="U731" s="64" t="str">
        <f>IF(OR(ISBLANK(Trades!R731), ISBLANK(Trades!H731), ISBLANK(Trades!I731)), "", IF(Trades!H731=Trades!I731, "N/A", (Trades!R731-Trades!H731)/(Trades!H731-Trades!I731)))</f>
        <v/>
      </c>
      <c r="V731" s="65" t="str">
        <f t="shared" si="91"/>
        <v/>
      </c>
      <c r="W731" s="66" t="str">
        <f t="shared" si="92"/>
        <v/>
      </c>
      <c r="X731" s="62" t="str">
        <f t="shared" si="93"/>
        <v/>
      </c>
      <c r="Y731" s="45"/>
      <c r="Z731" s="44"/>
      <c r="AA731" s="41"/>
      <c r="AB731" s="39"/>
      <c r="AC731" s="37" t="str">
        <f t="shared" si="94"/>
        <v/>
      </c>
    </row>
    <row r="732" spans="2:29" x14ac:dyDescent="0.25">
      <c r="B732" s="54">
        <v>726</v>
      </c>
      <c r="C732" s="168"/>
      <c r="D732" s="51"/>
      <c r="E732" s="29"/>
      <c r="F732" s="48"/>
      <c r="G732" s="29"/>
      <c r="H732" s="187"/>
      <c r="I732" s="187"/>
      <c r="J732" s="195"/>
      <c r="K732" s="86" t="str">
        <f t="shared" si="88"/>
        <v/>
      </c>
      <c r="L732" s="57" t="str">
        <f t="shared" si="95"/>
        <v/>
      </c>
      <c r="M732" s="186"/>
      <c r="N732" s="189"/>
      <c r="O732" s="190"/>
      <c r="P732" s="190" t="str">
        <f>IF(OR(ISBLANK(V732),COUNTBLANK(V732:$V$1048576)=ROWS(V732:$V$1048576)),"",$R$2*(1+SUM(V$7:V732)))</f>
        <v/>
      </c>
      <c r="Q732" s="191"/>
      <c r="R732" s="189"/>
      <c r="S732" s="53" t="str">
        <f t="shared" si="89"/>
        <v/>
      </c>
      <c r="T732" s="63" t="str">
        <f t="shared" si="90"/>
        <v/>
      </c>
      <c r="U732" s="64" t="str">
        <f>IF(OR(ISBLANK(Trades!R732), ISBLANK(Trades!H732), ISBLANK(Trades!I732)), "", IF(Trades!H732=Trades!I732, "N/A", (Trades!R732-Trades!H732)/(Trades!H732-Trades!I732)))</f>
        <v/>
      </c>
      <c r="V732" s="65" t="str">
        <f t="shared" si="91"/>
        <v/>
      </c>
      <c r="W732" s="66" t="str">
        <f t="shared" si="92"/>
        <v/>
      </c>
      <c r="X732" s="62" t="str">
        <f t="shared" si="93"/>
        <v/>
      </c>
      <c r="Y732" s="45"/>
      <c r="Z732" s="44"/>
      <c r="AA732" s="41"/>
      <c r="AB732" s="39"/>
      <c r="AC732" s="37" t="str">
        <f t="shared" si="94"/>
        <v/>
      </c>
    </row>
    <row r="733" spans="2:29" x14ac:dyDescent="0.25">
      <c r="B733" s="54">
        <v>727</v>
      </c>
      <c r="C733" s="168"/>
      <c r="D733" s="51"/>
      <c r="E733" s="29"/>
      <c r="F733" s="48"/>
      <c r="G733" s="29"/>
      <c r="H733" s="187"/>
      <c r="I733" s="187"/>
      <c r="J733" s="195"/>
      <c r="K733" s="86" t="str">
        <f t="shared" si="88"/>
        <v/>
      </c>
      <c r="L733" s="57" t="str">
        <f t="shared" si="95"/>
        <v/>
      </c>
      <c r="M733" s="186"/>
      <c r="N733" s="189"/>
      <c r="O733" s="190"/>
      <c r="P733" s="190" t="str">
        <f>IF(OR(ISBLANK(V733),COUNTBLANK(V733:$V$1048576)=ROWS(V733:$V$1048576)),"",$R$2*(1+SUM(V$7:V733)))</f>
        <v/>
      </c>
      <c r="Q733" s="191"/>
      <c r="R733" s="189"/>
      <c r="S733" s="53" t="str">
        <f t="shared" si="89"/>
        <v/>
      </c>
      <c r="T733" s="63" t="str">
        <f t="shared" si="90"/>
        <v/>
      </c>
      <c r="U733" s="64" t="str">
        <f>IF(OR(ISBLANK(Trades!R733), ISBLANK(Trades!H733), ISBLANK(Trades!I733)), "", IF(Trades!H733=Trades!I733, "N/A", (Trades!R733-Trades!H733)/(Trades!H733-Trades!I733)))</f>
        <v/>
      </c>
      <c r="V733" s="65" t="str">
        <f t="shared" si="91"/>
        <v/>
      </c>
      <c r="W733" s="66" t="str">
        <f t="shared" si="92"/>
        <v/>
      </c>
      <c r="X733" s="62" t="str">
        <f t="shared" si="93"/>
        <v/>
      </c>
      <c r="Y733" s="45"/>
      <c r="Z733" s="44"/>
      <c r="AA733" s="41"/>
      <c r="AB733" s="39"/>
      <c r="AC733" s="37" t="str">
        <f t="shared" si="94"/>
        <v/>
      </c>
    </row>
    <row r="734" spans="2:29" x14ac:dyDescent="0.25">
      <c r="B734" s="54">
        <v>728</v>
      </c>
      <c r="C734" s="168"/>
      <c r="D734" s="51"/>
      <c r="E734" s="29"/>
      <c r="F734" s="48"/>
      <c r="G734" s="29"/>
      <c r="H734" s="187"/>
      <c r="I734" s="187"/>
      <c r="J734" s="195"/>
      <c r="K734" s="86" t="str">
        <f t="shared" si="88"/>
        <v/>
      </c>
      <c r="L734" s="57" t="str">
        <f t="shared" si="95"/>
        <v/>
      </c>
      <c r="M734" s="186"/>
      <c r="N734" s="189"/>
      <c r="O734" s="190"/>
      <c r="P734" s="190" t="str">
        <f>IF(OR(ISBLANK(V734),COUNTBLANK(V734:$V$1048576)=ROWS(V734:$V$1048576)),"",$R$2*(1+SUM(V$7:V734)))</f>
        <v/>
      </c>
      <c r="Q734" s="191"/>
      <c r="R734" s="189"/>
      <c r="S734" s="53" t="str">
        <f t="shared" si="89"/>
        <v/>
      </c>
      <c r="T734" s="63" t="str">
        <f t="shared" si="90"/>
        <v/>
      </c>
      <c r="U734" s="64" t="str">
        <f>IF(OR(ISBLANK(Trades!R734), ISBLANK(Trades!H734), ISBLANK(Trades!I734)), "", IF(Trades!H734=Trades!I734, "N/A", (Trades!R734-Trades!H734)/(Trades!H734-Trades!I734)))</f>
        <v/>
      </c>
      <c r="V734" s="65" t="str">
        <f t="shared" si="91"/>
        <v/>
      </c>
      <c r="W734" s="66" t="str">
        <f t="shared" si="92"/>
        <v/>
      </c>
      <c r="X734" s="62" t="str">
        <f t="shared" si="93"/>
        <v/>
      </c>
      <c r="Y734" s="45"/>
      <c r="Z734" s="44"/>
      <c r="AA734" s="41"/>
      <c r="AB734" s="39"/>
      <c r="AC734" s="37" t="str">
        <f t="shared" si="94"/>
        <v/>
      </c>
    </row>
    <row r="735" spans="2:29" x14ac:dyDescent="0.25">
      <c r="B735" s="54">
        <v>729</v>
      </c>
      <c r="C735" s="168"/>
      <c r="D735" s="51"/>
      <c r="E735" s="29"/>
      <c r="F735" s="48"/>
      <c r="G735" s="29"/>
      <c r="H735" s="187"/>
      <c r="I735" s="187"/>
      <c r="J735" s="195"/>
      <c r="K735" s="86" t="str">
        <f t="shared" si="88"/>
        <v/>
      </c>
      <c r="L735" s="57" t="str">
        <f t="shared" si="95"/>
        <v/>
      </c>
      <c r="M735" s="186"/>
      <c r="N735" s="189"/>
      <c r="O735" s="190"/>
      <c r="P735" s="190" t="str">
        <f>IF(OR(ISBLANK(V735),COUNTBLANK(V735:$V$1048576)=ROWS(V735:$V$1048576)),"",$R$2*(1+SUM(V$7:V735)))</f>
        <v/>
      </c>
      <c r="Q735" s="191"/>
      <c r="R735" s="189"/>
      <c r="S735" s="53" t="str">
        <f t="shared" si="89"/>
        <v/>
      </c>
      <c r="T735" s="63" t="str">
        <f t="shared" si="90"/>
        <v/>
      </c>
      <c r="U735" s="64" t="str">
        <f>IF(OR(ISBLANK(Trades!R735), ISBLANK(Trades!H735), ISBLANK(Trades!I735)), "", IF(Trades!H735=Trades!I735, "N/A", (Trades!R735-Trades!H735)/(Trades!H735-Trades!I735)))</f>
        <v/>
      </c>
      <c r="V735" s="65" t="str">
        <f t="shared" si="91"/>
        <v/>
      </c>
      <c r="W735" s="66" t="str">
        <f t="shared" si="92"/>
        <v/>
      </c>
      <c r="X735" s="62" t="str">
        <f t="shared" si="93"/>
        <v/>
      </c>
      <c r="Y735" s="45"/>
      <c r="Z735" s="44"/>
      <c r="AA735" s="41"/>
      <c r="AB735" s="39"/>
      <c r="AC735" s="37" t="str">
        <f t="shared" si="94"/>
        <v/>
      </c>
    </row>
    <row r="736" spans="2:29" x14ac:dyDescent="0.25">
      <c r="B736" s="54">
        <v>730</v>
      </c>
      <c r="C736" s="168"/>
      <c r="D736" s="51"/>
      <c r="E736" s="29"/>
      <c r="F736" s="48"/>
      <c r="G736" s="29"/>
      <c r="H736" s="187"/>
      <c r="I736" s="187"/>
      <c r="J736" s="195"/>
      <c r="K736" s="86" t="str">
        <f t="shared" si="88"/>
        <v/>
      </c>
      <c r="L736" s="57" t="str">
        <f t="shared" si="95"/>
        <v/>
      </c>
      <c r="M736" s="186"/>
      <c r="N736" s="189"/>
      <c r="O736" s="190"/>
      <c r="P736" s="190" t="str">
        <f>IF(OR(ISBLANK(V736),COUNTBLANK(V736:$V$1048576)=ROWS(V736:$V$1048576)),"",$R$2*(1+SUM(V$7:V736)))</f>
        <v/>
      </c>
      <c r="Q736" s="191"/>
      <c r="R736" s="189"/>
      <c r="S736" s="53" t="str">
        <f t="shared" si="89"/>
        <v/>
      </c>
      <c r="T736" s="63" t="str">
        <f t="shared" si="90"/>
        <v/>
      </c>
      <c r="U736" s="64" t="str">
        <f>IF(OR(ISBLANK(Trades!R736), ISBLANK(Trades!H736), ISBLANK(Trades!I736)), "", IF(Trades!H736=Trades!I736, "N/A", (Trades!R736-Trades!H736)/(Trades!H736-Trades!I736)))</f>
        <v/>
      </c>
      <c r="V736" s="65" t="str">
        <f t="shared" si="91"/>
        <v/>
      </c>
      <c r="W736" s="66" t="str">
        <f t="shared" si="92"/>
        <v/>
      </c>
      <c r="X736" s="62" t="str">
        <f t="shared" si="93"/>
        <v/>
      </c>
      <c r="Y736" s="45"/>
      <c r="Z736" s="44"/>
      <c r="AA736" s="41"/>
      <c r="AB736" s="39"/>
      <c r="AC736" s="37" t="str">
        <f t="shared" si="94"/>
        <v/>
      </c>
    </row>
    <row r="737" spans="2:29" x14ac:dyDescent="0.25">
      <c r="B737" s="54">
        <v>731</v>
      </c>
      <c r="C737" s="168"/>
      <c r="D737" s="51"/>
      <c r="E737" s="29"/>
      <c r="F737" s="48"/>
      <c r="G737" s="29"/>
      <c r="H737" s="187"/>
      <c r="I737" s="187"/>
      <c r="J737" s="195"/>
      <c r="K737" s="86" t="str">
        <f t="shared" si="88"/>
        <v/>
      </c>
      <c r="L737" s="57" t="str">
        <f t="shared" si="95"/>
        <v/>
      </c>
      <c r="M737" s="186"/>
      <c r="N737" s="189"/>
      <c r="O737" s="190"/>
      <c r="P737" s="190" t="str">
        <f>IF(OR(ISBLANK(V737),COUNTBLANK(V737:$V$1048576)=ROWS(V737:$V$1048576)),"",$R$2*(1+SUM(V$7:V737)))</f>
        <v/>
      </c>
      <c r="Q737" s="191"/>
      <c r="R737" s="189"/>
      <c r="S737" s="53" t="str">
        <f t="shared" si="89"/>
        <v/>
      </c>
      <c r="T737" s="63" t="str">
        <f t="shared" si="90"/>
        <v/>
      </c>
      <c r="U737" s="64" t="str">
        <f>IF(OR(ISBLANK(Trades!R737), ISBLANK(Trades!H737), ISBLANK(Trades!I737)), "", IF(Trades!H737=Trades!I737, "N/A", (Trades!R737-Trades!H737)/(Trades!H737-Trades!I737)))</f>
        <v/>
      </c>
      <c r="V737" s="65" t="str">
        <f t="shared" si="91"/>
        <v/>
      </c>
      <c r="W737" s="66" t="str">
        <f t="shared" si="92"/>
        <v/>
      </c>
      <c r="X737" s="62" t="str">
        <f t="shared" si="93"/>
        <v/>
      </c>
      <c r="Y737" s="45"/>
      <c r="Z737" s="44"/>
      <c r="AA737" s="41"/>
      <c r="AB737" s="39"/>
      <c r="AC737" s="37" t="str">
        <f t="shared" si="94"/>
        <v/>
      </c>
    </row>
    <row r="738" spans="2:29" x14ac:dyDescent="0.25">
      <c r="B738" s="54">
        <v>732</v>
      </c>
      <c r="C738" s="168"/>
      <c r="D738" s="51"/>
      <c r="E738" s="29"/>
      <c r="F738" s="48"/>
      <c r="G738" s="29"/>
      <c r="H738" s="187"/>
      <c r="I738" s="187"/>
      <c r="J738" s="195"/>
      <c r="K738" s="86" t="str">
        <f t="shared" si="88"/>
        <v/>
      </c>
      <c r="L738" s="57" t="str">
        <f t="shared" si="95"/>
        <v/>
      </c>
      <c r="M738" s="186"/>
      <c r="N738" s="189"/>
      <c r="O738" s="190"/>
      <c r="P738" s="190" t="str">
        <f>IF(OR(ISBLANK(V738),COUNTBLANK(V738:$V$1048576)=ROWS(V738:$V$1048576)),"",$R$2*(1+SUM(V$7:V738)))</f>
        <v/>
      </c>
      <c r="Q738" s="191"/>
      <c r="R738" s="189"/>
      <c r="S738" s="53" t="str">
        <f t="shared" si="89"/>
        <v/>
      </c>
      <c r="T738" s="63" t="str">
        <f t="shared" si="90"/>
        <v/>
      </c>
      <c r="U738" s="64" t="str">
        <f>IF(OR(ISBLANK(Trades!R738), ISBLANK(Trades!H738), ISBLANK(Trades!I738)), "", IF(Trades!H738=Trades!I738, "N/A", (Trades!R738-Trades!H738)/(Trades!H738-Trades!I738)))</f>
        <v/>
      </c>
      <c r="V738" s="65" t="str">
        <f t="shared" si="91"/>
        <v/>
      </c>
      <c r="W738" s="66" t="str">
        <f t="shared" si="92"/>
        <v/>
      </c>
      <c r="X738" s="62" t="str">
        <f t="shared" si="93"/>
        <v/>
      </c>
      <c r="Y738" s="45"/>
      <c r="Z738" s="44"/>
      <c r="AA738" s="41"/>
      <c r="AB738" s="39"/>
      <c r="AC738" s="37" t="str">
        <f t="shared" si="94"/>
        <v/>
      </c>
    </row>
    <row r="739" spans="2:29" x14ac:dyDescent="0.25">
      <c r="B739" s="54">
        <v>733</v>
      </c>
      <c r="C739" s="168"/>
      <c r="D739" s="51"/>
      <c r="E739" s="29"/>
      <c r="F739" s="48"/>
      <c r="G739" s="29"/>
      <c r="H739" s="187"/>
      <c r="I739" s="187"/>
      <c r="J739" s="195"/>
      <c r="K739" s="86" t="str">
        <f t="shared" si="88"/>
        <v/>
      </c>
      <c r="L739" s="57" t="str">
        <f t="shared" si="95"/>
        <v/>
      </c>
      <c r="M739" s="186"/>
      <c r="N739" s="189"/>
      <c r="O739" s="190"/>
      <c r="P739" s="190" t="str">
        <f>IF(OR(ISBLANK(V739),COUNTBLANK(V739:$V$1048576)=ROWS(V739:$V$1048576)),"",$R$2*(1+SUM(V$7:V739)))</f>
        <v/>
      </c>
      <c r="Q739" s="191"/>
      <c r="R739" s="189"/>
      <c r="S739" s="53" t="str">
        <f t="shared" si="89"/>
        <v/>
      </c>
      <c r="T739" s="63" t="str">
        <f t="shared" si="90"/>
        <v/>
      </c>
      <c r="U739" s="64" t="str">
        <f>IF(OR(ISBLANK(Trades!R739), ISBLANK(Trades!H739), ISBLANK(Trades!I739)), "", IF(Trades!H739=Trades!I739, "N/A", (Trades!R739-Trades!H739)/(Trades!H739-Trades!I739)))</f>
        <v/>
      </c>
      <c r="V739" s="65" t="str">
        <f t="shared" si="91"/>
        <v/>
      </c>
      <c r="W739" s="66" t="str">
        <f t="shared" si="92"/>
        <v/>
      </c>
      <c r="X739" s="62" t="str">
        <f t="shared" si="93"/>
        <v/>
      </c>
      <c r="Y739" s="45"/>
      <c r="Z739" s="44"/>
      <c r="AA739" s="41"/>
      <c r="AB739" s="39"/>
      <c r="AC739" s="37" t="str">
        <f t="shared" si="94"/>
        <v/>
      </c>
    </row>
    <row r="740" spans="2:29" x14ac:dyDescent="0.25">
      <c r="B740" s="54">
        <v>734</v>
      </c>
      <c r="C740" s="168"/>
      <c r="D740" s="51"/>
      <c r="E740" s="29"/>
      <c r="F740" s="48"/>
      <c r="G740" s="29"/>
      <c r="H740" s="187"/>
      <c r="I740" s="187"/>
      <c r="J740" s="195"/>
      <c r="K740" s="86" t="str">
        <f t="shared" si="88"/>
        <v/>
      </c>
      <c r="L740" s="57" t="str">
        <f t="shared" si="95"/>
        <v/>
      </c>
      <c r="M740" s="186"/>
      <c r="N740" s="189"/>
      <c r="O740" s="190"/>
      <c r="P740" s="190" t="str">
        <f>IF(OR(ISBLANK(V740),COUNTBLANK(V740:$V$1048576)=ROWS(V740:$V$1048576)),"",$R$2*(1+SUM(V$7:V740)))</f>
        <v/>
      </c>
      <c r="Q740" s="191"/>
      <c r="R740" s="189"/>
      <c r="S740" s="53" t="str">
        <f t="shared" si="89"/>
        <v/>
      </c>
      <c r="T740" s="63" t="str">
        <f t="shared" si="90"/>
        <v/>
      </c>
      <c r="U740" s="64" t="str">
        <f>IF(OR(ISBLANK(Trades!R740), ISBLANK(Trades!H740), ISBLANK(Trades!I740)), "", IF(Trades!H740=Trades!I740, "N/A", (Trades!R740-Trades!H740)/(Trades!H740-Trades!I740)))</f>
        <v/>
      </c>
      <c r="V740" s="65" t="str">
        <f t="shared" si="91"/>
        <v/>
      </c>
      <c r="W740" s="66" t="str">
        <f t="shared" si="92"/>
        <v/>
      </c>
      <c r="X740" s="62" t="str">
        <f t="shared" si="93"/>
        <v/>
      </c>
      <c r="Y740" s="45"/>
      <c r="Z740" s="44"/>
      <c r="AA740" s="41"/>
      <c r="AB740" s="39"/>
      <c r="AC740" s="37" t="str">
        <f t="shared" si="94"/>
        <v/>
      </c>
    </row>
    <row r="741" spans="2:29" x14ac:dyDescent="0.25">
      <c r="B741" s="54">
        <v>735</v>
      </c>
      <c r="C741" s="168"/>
      <c r="D741" s="51"/>
      <c r="E741" s="29"/>
      <c r="F741" s="48"/>
      <c r="G741" s="29"/>
      <c r="H741" s="187"/>
      <c r="I741" s="187"/>
      <c r="J741" s="195"/>
      <c r="K741" s="86" t="str">
        <f t="shared" si="88"/>
        <v/>
      </c>
      <c r="L741" s="57" t="str">
        <f t="shared" si="95"/>
        <v/>
      </c>
      <c r="M741" s="186"/>
      <c r="N741" s="189"/>
      <c r="O741" s="190"/>
      <c r="P741" s="190" t="str">
        <f>IF(OR(ISBLANK(V741),COUNTBLANK(V741:$V$1048576)=ROWS(V741:$V$1048576)),"",$R$2*(1+SUM(V$7:V741)))</f>
        <v/>
      </c>
      <c r="Q741" s="191"/>
      <c r="R741" s="189"/>
      <c r="S741" s="53" t="str">
        <f t="shared" si="89"/>
        <v/>
      </c>
      <c r="T741" s="63" t="str">
        <f t="shared" si="90"/>
        <v/>
      </c>
      <c r="U741" s="64" t="str">
        <f>IF(OR(ISBLANK(Trades!R741), ISBLANK(Trades!H741), ISBLANK(Trades!I741)), "", IF(Trades!H741=Trades!I741, "N/A", (Trades!R741-Trades!H741)/(Trades!H741-Trades!I741)))</f>
        <v/>
      </c>
      <c r="V741" s="65" t="str">
        <f t="shared" si="91"/>
        <v/>
      </c>
      <c r="W741" s="66" t="str">
        <f t="shared" si="92"/>
        <v/>
      </c>
      <c r="X741" s="62" t="str">
        <f t="shared" si="93"/>
        <v/>
      </c>
      <c r="Y741" s="45"/>
      <c r="Z741" s="44"/>
      <c r="AA741" s="41"/>
      <c r="AB741" s="39"/>
      <c r="AC741" s="37" t="str">
        <f t="shared" si="94"/>
        <v/>
      </c>
    </row>
    <row r="742" spans="2:29" x14ac:dyDescent="0.25">
      <c r="B742" s="54">
        <v>736</v>
      </c>
      <c r="C742" s="168"/>
      <c r="D742" s="51"/>
      <c r="E742" s="29"/>
      <c r="F742" s="48"/>
      <c r="G742" s="29"/>
      <c r="H742" s="187"/>
      <c r="I742" s="187"/>
      <c r="J742" s="195"/>
      <c r="K742" s="86" t="str">
        <f t="shared" si="88"/>
        <v/>
      </c>
      <c r="L742" s="57" t="str">
        <f t="shared" si="95"/>
        <v/>
      </c>
      <c r="M742" s="186"/>
      <c r="N742" s="189"/>
      <c r="O742" s="190"/>
      <c r="P742" s="190" t="str">
        <f>IF(OR(ISBLANK(V742),COUNTBLANK(V742:$V$1048576)=ROWS(V742:$V$1048576)),"",$R$2*(1+SUM(V$7:V742)))</f>
        <v/>
      </c>
      <c r="Q742" s="191"/>
      <c r="R742" s="189"/>
      <c r="S742" s="53" t="str">
        <f t="shared" si="89"/>
        <v/>
      </c>
      <c r="T742" s="63" t="str">
        <f t="shared" si="90"/>
        <v/>
      </c>
      <c r="U742" s="64" t="str">
        <f>IF(OR(ISBLANK(Trades!R742), ISBLANK(Trades!H742), ISBLANK(Trades!I742)), "", IF(Trades!H742=Trades!I742, "N/A", (Trades!R742-Trades!H742)/(Trades!H742-Trades!I742)))</f>
        <v/>
      </c>
      <c r="V742" s="65" t="str">
        <f t="shared" si="91"/>
        <v/>
      </c>
      <c r="W742" s="66" t="str">
        <f t="shared" si="92"/>
        <v/>
      </c>
      <c r="X742" s="62" t="str">
        <f t="shared" si="93"/>
        <v/>
      </c>
      <c r="Y742" s="45"/>
      <c r="Z742" s="44"/>
      <c r="AA742" s="41"/>
      <c r="AB742" s="39"/>
      <c r="AC742" s="37" t="str">
        <f t="shared" si="94"/>
        <v/>
      </c>
    </row>
    <row r="743" spans="2:29" x14ac:dyDescent="0.25">
      <c r="B743" s="54">
        <v>737</v>
      </c>
      <c r="C743" s="168"/>
      <c r="D743" s="51"/>
      <c r="E743" s="29"/>
      <c r="F743" s="48"/>
      <c r="G743" s="29"/>
      <c r="H743" s="187"/>
      <c r="I743" s="187"/>
      <c r="J743" s="195"/>
      <c r="K743" s="86" t="str">
        <f t="shared" si="88"/>
        <v/>
      </c>
      <c r="L743" s="57" t="str">
        <f t="shared" si="95"/>
        <v/>
      </c>
      <c r="M743" s="186"/>
      <c r="N743" s="189"/>
      <c r="O743" s="190"/>
      <c r="P743" s="190" t="str">
        <f>IF(OR(ISBLANK(V743),COUNTBLANK(V743:$V$1048576)=ROWS(V743:$V$1048576)),"",$R$2*(1+SUM(V$7:V743)))</f>
        <v/>
      </c>
      <c r="Q743" s="191"/>
      <c r="R743" s="189"/>
      <c r="S743" s="53" t="str">
        <f t="shared" si="89"/>
        <v/>
      </c>
      <c r="T743" s="63" t="str">
        <f t="shared" si="90"/>
        <v/>
      </c>
      <c r="U743" s="64" t="str">
        <f>IF(OR(ISBLANK(Trades!R743), ISBLANK(Trades!H743), ISBLANK(Trades!I743)), "", IF(Trades!H743=Trades!I743, "N/A", (Trades!R743-Trades!H743)/(Trades!H743-Trades!I743)))</f>
        <v/>
      </c>
      <c r="V743" s="65" t="str">
        <f t="shared" si="91"/>
        <v/>
      </c>
      <c r="W743" s="66" t="str">
        <f t="shared" si="92"/>
        <v/>
      </c>
      <c r="X743" s="62" t="str">
        <f t="shared" si="93"/>
        <v/>
      </c>
      <c r="Y743" s="45"/>
      <c r="Z743" s="44"/>
      <c r="AA743" s="41"/>
      <c r="AB743" s="39"/>
      <c r="AC743" s="37" t="str">
        <f t="shared" si="94"/>
        <v/>
      </c>
    </row>
    <row r="744" spans="2:29" x14ac:dyDescent="0.25">
      <c r="B744" s="54">
        <v>738</v>
      </c>
      <c r="C744" s="168"/>
      <c r="D744" s="51"/>
      <c r="E744" s="29"/>
      <c r="F744" s="48"/>
      <c r="G744" s="29"/>
      <c r="H744" s="187"/>
      <c r="I744" s="187"/>
      <c r="J744" s="195"/>
      <c r="K744" s="86" t="str">
        <f t="shared" si="88"/>
        <v/>
      </c>
      <c r="L744" s="57" t="str">
        <f t="shared" si="95"/>
        <v/>
      </c>
      <c r="M744" s="186"/>
      <c r="N744" s="189"/>
      <c r="O744" s="190"/>
      <c r="P744" s="190" t="str">
        <f>IF(OR(ISBLANK(V744),COUNTBLANK(V744:$V$1048576)=ROWS(V744:$V$1048576)),"",$R$2*(1+SUM(V$7:V744)))</f>
        <v/>
      </c>
      <c r="Q744" s="191"/>
      <c r="R744" s="189"/>
      <c r="S744" s="53" t="str">
        <f t="shared" si="89"/>
        <v/>
      </c>
      <c r="T744" s="63" t="str">
        <f t="shared" si="90"/>
        <v/>
      </c>
      <c r="U744" s="64" t="str">
        <f>IF(OR(ISBLANK(Trades!R744), ISBLANK(Trades!H744), ISBLANK(Trades!I744)), "", IF(Trades!H744=Trades!I744, "N/A", (Trades!R744-Trades!H744)/(Trades!H744-Trades!I744)))</f>
        <v/>
      </c>
      <c r="V744" s="65" t="str">
        <f t="shared" si="91"/>
        <v/>
      </c>
      <c r="W744" s="66" t="str">
        <f t="shared" si="92"/>
        <v/>
      </c>
      <c r="X744" s="62" t="str">
        <f t="shared" si="93"/>
        <v/>
      </c>
      <c r="Y744" s="45"/>
      <c r="Z744" s="44"/>
      <c r="AA744" s="41"/>
      <c r="AB744" s="39"/>
      <c r="AC744" s="37" t="str">
        <f t="shared" si="94"/>
        <v/>
      </c>
    </row>
    <row r="745" spans="2:29" x14ac:dyDescent="0.25">
      <c r="B745" s="54">
        <v>739</v>
      </c>
      <c r="C745" s="168"/>
      <c r="D745" s="51"/>
      <c r="E745" s="29"/>
      <c r="F745" s="48"/>
      <c r="G745" s="29"/>
      <c r="H745" s="187"/>
      <c r="I745" s="187"/>
      <c r="J745" s="195"/>
      <c r="K745" s="86" t="str">
        <f t="shared" si="88"/>
        <v/>
      </c>
      <c r="L745" s="57" t="str">
        <f t="shared" si="95"/>
        <v/>
      </c>
      <c r="M745" s="186"/>
      <c r="N745" s="189"/>
      <c r="O745" s="190"/>
      <c r="P745" s="190" t="str">
        <f>IF(OR(ISBLANK(V745),COUNTBLANK(V745:$V$1048576)=ROWS(V745:$V$1048576)),"",$R$2*(1+SUM(V$7:V745)))</f>
        <v/>
      </c>
      <c r="Q745" s="191"/>
      <c r="R745" s="189"/>
      <c r="S745" s="53" t="str">
        <f t="shared" si="89"/>
        <v/>
      </c>
      <c r="T745" s="63" t="str">
        <f t="shared" si="90"/>
        <v/>
      </c>
      <c r="U745" s="64" t="str">
        <f>IF(OR(ISBLANK(Trades!R745), ISBLANK(Trades!H745), ISBLANK(Trades!I745)), "", IF(Trades!H745=Trades!I745, "N/A", (Trades!R745-Trades!H745)/(Trades!H745-Trades!I745)))</f>
        <v/>
      </c>
      <c r="V745" s="65" t="str">
        <f t="shared" si="91"/>
        <v/>
      </c>
      <c r="W745" s="66" t="str">
        <f t="shared" si="92"/>
        <v/>
      </c>
      <c r="X745" s="62" t="str">
        <f t="shared" si="93"/>
        <v/>
      </c>
      <c r="Y745" s="45"/>
      <c r="Z745" s="44"/>
      <c r="AA745" s="41"/>
      <c r="AB745" s="39"/>
      <c r="AC745" s="37" t="str">
        <f t="shared" si="94"/>
        <v/>
      </c>
    </row>
    <row r="746" spans="2:29" x14ac:dyDescent="0.25">
      <c r="B746" s="54">
        <v>740</v>
      </c>
      <c r="C746" s="168"/>
      <c r="D746" s="51"/>
      <c r="E746" s="29"/>
      <c r="F746" s="48"/>
      <c r="G746" s="29"/>
      <c r="H746" s="187"/>
      <c r="I746" s="187"/>
      <c r="J746" s="195"/>
      <c r="K746" s="86" t="str">
        <f t="shared" si="88"/>
        <v/>
      </c>
      <c r="L746" s="57" t="str">
        <f t="shared" si="95"/>
        <v/>
      </c>
      <c r="M746" s="186"/>
      <c r="N746" s="189"/>
      <c r="O746" s="190"/>
      <c r="P746" s="190" t="str">
        <f>IF(OR(ISBLANK(V746),COUNTBLANK(V746:$V$1048576)=ROWS(V746:$V$1048576)),"",$R$2*(1+SUM(V$7:V746)))</f>
        <v/>
      </c>
      <c r="Q746" s="191"/>
      <c r="R746" s="189"/>
      <c r="S746" s="53" t="str">
        <f t="shared" si="89"/>
        <v/>
      </c>
      <c r="T746" s="63" t="str">
        <f t="shared" si="90"/>
        <v/>
      </c>
      <c r="U746" s="64" t="str">
        <f>IF(OR(ISBLANK(Trades!R746), ISBLANK(Trades!H746), ISBLANK(Trades!I746)), "", IF(Trades!H746=Trades!I746, "N/A", (Trades!R746-Trades!H746)/(Trades!H746-Trades!I746)))</f>
        <v/>
      </c>
      <c r="V746" s="65" t="str">
        <f t="shared" si="91"/>
        <v/>
      </c>
      <c r="W746" s="66" t="str">
        <f t="shared" si="92"/>
        <v/>
      </c>
      <c r="X746" s="62" t="str">
        <f t="shared" si="93"/>
        <v/>
      </c>
      <c r="Y746" s="45"/>
      <c r="Z746" s="44"/>
      <c r="AA746" s="41"/>
      <c r="AB746" s="39"/>
      <c r="AC746" s="37" t="str">
        <f t="shared" si="94"/>
        <v/>
      </c>
    </row>
    <row r="747" spans="2:29" x14ac:dyDescent="0.25">
      <c r="B747" s="54">
        <v>741</v>
      </c>
      <c r="C747" s="168"/>
      <c r="D747" s="51"/>
      <c r="E747" s="29"/>
      <c r="F747" s="48"/>
      <c r="G747" s="29"/>
      <c r="H747" s="187"/>
      <c r="I747" s="187"/>
      <c r="J747" s="195"/>
      <c r="K747" s="86" t="str">
        <f t="shared" si="88"/>
        <v/>
      </c>
      <c r="L747" s="57" t="str">
        <f t="shared" si="95"/>
        <v/>
      </c>
      <c r="M747" s="186"/>
      <c r="N747" s="189"/>
      <c r="O747" s="190"/>
      <c r="P747" s="190" t="str">
        <f>IF(OR(ISBLANK(V747),COUNTBLANK(V747:$V$1048576)=ROWS(V747:$V$1048576)),"",$R$2*(1+SUM(V$7:V747)))</f>
        <v/>
      </c>
      <c r="Q747" s="191"/>
      <c r="R747" s="189"/>
      <c r="S747" s="53" t="str">
        <f t="shared" si="89"/>
        <v/>
      </c>
      <c r="T747" s="63" t="str">
        <f t="shared" si="90"/>
        <v/>
      </c>
      <c r="U747" s="64" t="str">
        <f>IF(OR(ISBLANK(Trades!R747), ISBLANK(Trades!H747), ISBLANK(Trades!I747)), "", IF(Trades!H747=Trades!I747, "N/A", (Trades!R747-Trades!H747)/(Trades!H747-Trades!I747)))</f>
        <v/>
      </c>
      <c r="V747" s="65" t="str">
        <f t="shared" si="91"/>
        <v/>
      </c>
      <c r="W747" s="66" t="str">
        <f t="shared" si="92"/>
        <v/>
      </c>
      <c r="X747" s="62" t="str">
        <f t="shared" si="93"/>
        <v/>
      </c>
      <c r="Y747" s="45"/>
      <c r="Z747" s="44"/>
      <c r="AA747" s="41"/>
      <c r="AB747" s="39"/>
      <c r="AC747" s="37" t="str">
        <f t="shared" si="94"/>
        <v/>
      </c>
    </row>
    <row r="748" spans="2:29" x14ac:dyDescent="0.25">
      <c r="B748" s="54">
        <v>742</v>
      </c>
      <c r="C748" s="168"/>
      <c r="D748" s="51"/>
      <c r="E748" s="29"/>
      <c r="F748" s="48"/>
      <c r="G748" s="29"/>
      <c r="H748" s="187"/>
      <c r="I748" s="187"/>
      <c r="J748" s="195"/>
      <c r="K748" s="86" t="str">
        <f t="shared" si="88"/>
        <v/>
      </c>
      <c r="L748" s="57" t="str">
        <f t="shared" si="95"/>
        <v/>
      </c>
      <c r="M748" s="186"/>
      <c r="N748" s="189"/>
      <c r="O748" s="190"/>
      <c r="P748" s="190" t="str">
        <f>IF(OR(ISBLANK(V748),COUNTBLANK(V748:$V$1048576)=ROWS(V748:$V$1048576)),"",$R$2*(1+SUM(V$7:V748)))</f>
        <v/>
      </c>
      <c r="Q748" s="191"/>
      <c r="R748" s="189"/>
      <c r="S748" s="53" t="str">
        <f t="shared" si="89"/>
        <v/>
      </c>
      <c r="T748" s="63" t="str">
        <f t="shared" si="90"/>
        <v/>
      </c>
      <c r="U748" s="64" t="str">
        <f>IF(OR(ISBLANK(Trades!R748), ISBLANK(Trades!H748), ISBLANK(Trades!I748)), "", IF(Trades!H748=Trades!I748, "N/A", (Trades!R748-Trades!H748)/(Trades!H748-Trades!I748)))</f>
        <v/>
      </c>
      <c r="V748" s="65" t="str">
        <f t="shared" si="91"/>
        <v/>
      </c>
      <c r="W748" s="66" t="str">
        <f t="shared" si="92"/>
        <v/>
      </c>
      <c r="X748" s="62" t="str">
        <f t="shared" si="93"/>
        <v/>
      </c>
      <c r="Y748" s="45"/>
      <c r="Z748" s="44"/>
      <c r="AA748" s="41"/>
      <c r="AB748" s="39"/>
      <c r="AC748" s="37" t="str">
        <f t="shared" si="94"/>
        <v/>
      </c>
    </row>
    <row r="749" spans="2:29" x14ac:dyDescent="0.25">
      <c r="B749" s="54">
        <v>743</v>
      </c>
      <c r="C749" s="168"/>
      <c r="D749" s="51"/>
      <c r="E749" s="29"/>
      <c r="F749" s="48"/>
      <c r="G749" s="29"/>
      <c r="H749" s="187"/>
      <c r="I749" s="187"/>
      <c r="J749" s="195"/>
      <c r="K749" s="86" t="str">
        <f t="shared" si="88"/>
        <v/>
      </c>
      <c r="L749" s="57" t="str">
        <f t="shared" si="95"/>
        <v/>
      </c>
      <c r="M749" s="186"/>
      <c r="N749" s="189"/>
      <c r="O749" s="190"/>
      <c r="P749" s="190" t="str">
        <f>IF(OR(ISBLANK(V749),COUNTBLANK(V749:$V$1048576)=ROWS(V749:$V$1048576)),"",$R$2*(1+SUM(V$7:V749)))</f>
        <v/>
      </c>
      <c r="Q749" s="191"/>
      <c r="R749" s="189"/>
      <c r="S749" s="53" t="str">
        <f t="shared" si="89"/>
        <v/>
      </c>
      <c r="T749" s="63" t="str">
        <f t="shared" si="90"/>
        <v/>
      </c>
      <c r="U749" s="64" t="str">
        <f>IF(OR(ISBLANK(Trades!R749), ISBLANK(Trades!H749), ISBLANK(Trades!I749)), "", IF(Trades!H749=Trades!I749, "N/A", (Trades!R749-Trades!H749)/(Trades!H749-Trades!I749)))</f>
        <v/>
      </c>
      <c r="V749" s="65" t="str">
        <f t="shared" si="91"/>
        <v/>
      </c>
      <c r="W749" s="66" t="str">
        <f t="shared" si="92"/>
        <v/>
      </c>
      <c r="X749" s="62" t="str">
        <f t="shared" si="93"/>
        <v/>
      </c>
      <c r="Y749" s="45"/>
      <c r="Z749" s="44"/>
      <c r="AA749" s="41"/>
      <c r="AB749" s="39"/>
      <c r="AC749" s="37" t="str">
        <f t="shared" si="94"/>
        <v/>
      </c>
    </row>
    <row r="750" spans="2:29" x14ac:dyDescent="0.25">
      <c r="B750" s="54">
        <v>744</v>
      </c>
      <c r="C750" s="168"/>
      <c r="D750" s="51"/>
      <c r="E750" s="29"/>
      <c r="F750" s="48"/>
      <c r="G750" s="29"/>
      <c r="H750" s="187"/>
      <c r="I750" s="187"/>
      <c r="J750" s="195"/>
      <c r="K750" s="86" t="str">
        <f t="shared" si="88"/>
        <v/>
      </c>
      <c r="L750" s="57" t="str">
        <f t="shared" si="95"/>
        <v/>
      </c>
      <c r="M750" s="186"/>
      <c r="N750" s="189"/>
      <c r="O750" s="190"/>
      <c r="P750" s="190" t="str">
        <f>IF(OR(ISBLANK(V750),COUNTBLANK(V750:$V$1048576)=ROWS(V750:$V$1048576)),"",$R$2*(1+SUM(V$7:V750)))</f>
        <v/>
      </c>
      <c r="Q750" s="191"/>
      <c r="R750" s="189"/>
      <c r="S750" s="53" t="str">
        <f t="shared" si="89"/>
        <v/>
      </c>
      <c r="T750" s="63" t="str">
        <f t="shared" si="90"/>
        <v/>
      </c>
      <c r="U750" s="64" t="str">
        <f>IF(OR(ISBLANK(Trades!R750), ISBLANK(Trades!H750), ISBLANK(Trades!I750)), "", IF(Trades!H750=Trades!I750, "N/A", (Trades!R750-Trades!H750)/(Trades!H750-Trades!I750)))</f>
        <v/>
      </c>
      <c r="V750" s="65" t="str">
        <f t="shared" si="91"/>
        <v/>
      </c>
      <c r="W750" s="66" t="str">
        <f t="shared" si="92"/>
        <v/>
      </c>
      <c r="X750" s="62" t="str">
        <f t="shared" si="93"/>
        <v/>
      </c>
      <c r="Y750" s="45"/>
      <c r="Z750" s="44"/>
      <c r="AA750" s="41"/>
      <c r="AB750" s="39"/>
      <c r="AC750" s="37" t="str">
        <f t="shared" si="94"/>
        <v/>
      </c>
    </row>
    <row r="751" spans="2:29" x14ac:dyDescent="0.25">
      <c r="B751" s="54">
        <v>745</v>
      </c>
      <c r="C751" s="168"/>
      <c r="D751" s="51"/>
      <c r="E751" s="29"/>
      <c r="F751" s="48"/>
      <c r="G751" s="29"/>
      <c r="H751" s="187"/>
      <c r="I751" s="187"/>
      <c r="J751" s="195"/>
      <c r="K751" s="86" t="str">
        <f t="shared" si="88"/>
        <v/>
      </c>
      <c r="L751" s="57" t="str">
        <f t="shared" si="95"/>
        <v/>
      </c>
      <c r="M751" s="186"/>
      <c r="N751" s="189"/>
      <c r="O751" s="190"/>
      <c r="P751" s="190" t="str">
        <f>IF(OR(ISBLANK(V751),COUNTBLANK(V751:$V$1048576)=ROWS(V751:$V$1048576)),"",$R$2*(1+SUM(V$7:V751)))</f>
        <v/>
      </c>
      <c r="Q751" s="191"/>
      <c r="R751" s="189"/>
      <c r="S751" s="53" t="str">
        <f t="shared" si="89"/>
        <v/>
      </c>
      <c r="T751" s="63" t="str">
        <f t="shared" si="90"/>
        <v/>
      </c>
      <c r="U751" s="64" t="str">
        <f>IF(OR(ISBLANK(Trades!R751), ISBLANK(Trades!H751), ISBLANK(Trades!I751)), "", IF(Trades!H751=Trades!I751, "N/A", (Trades!R751-Trades!H751)/(Trades!H751-Trades!I751)))</f>
        <v/>
      </c>
      <c r="V751" s="65" t="str">
        <f t="shared" si="91"/>
        <v/>
      </c>
      <c r="W751" s="66" t="str">
        <f t="shared" si="92"/>
        <v/>
      </c>
      <c r="X751" s="62" t="str">
        <f t="shared" si="93"/>
        <v/>
      </c>
      <c r="Y751" s="45"/>
      <c r="Z751" s="44"/>
      <c r="AA751" s="41"/>
      <c r="AB751" s="39"/>
      <c r="AC751" s="37" t="str">
        <f t="shared" si="94"/>
        <v/>
      </c>
    </row>
    <row r="752" spans="2:29" x14ac:dyDescent="0.25">
      <c r="B752" s="54">
        <v>746</v>
      </c>
      <c r="C752" s="168"/>
      <c r="D752" s="51"/>
      <c r="E752" s="29"/>
      <c r="F752" s="48"/>
      <c r="G752" s="29"/>
      <c r="H752" s="187"/>
      <c r="I752" s="187"/>
      <c r="J752" s="195"/>
      <c r="K752" s="86" t="str">
        <f t="shared" si="88"/>
        <v/>
      </c>
      <c r="L752" s="57" t="str">
        <f t="shared" si="95"/>
        <v/>
      </c>
      <c r="M752" s="186"/>
      <c r="N752" s="189"/>
      <c r="O752" s="190"/>
      <c r="P752" s="190" t="str">
        <f>IF(OR(ISBLANK(V752),COUNTBLANK(V752:$V$1048576)=ROWS(V752:$V$1048576)),"",$R$2*(1+SUM(V$7:V752)))</f>
        <v/>
      </c>
      <c r="Q752" s="191"/>
      <c r="R752" s="189"/>
      <c r="S752" s="53" t="str">
        <f t="shared" si="89"/>
        <v/>
      </c>
      <c r="T752" s="63" t="str">
        <f t="shared" si="90"/>
        <v/>
      </c>
      <c r="U752" s="64" t="str">
        <f>IF(OR(ISBLANK(Trades!R752), ISBLANK(Trades!H752), ISBLANK(Trades!I752)), "", IF(Trades!H752=Trades!I752, "N/A", (Trades!R752-Trades!H752)/(Trades!H752-Trades!I752)))</f>
        <v/>
      </c>
      <c r="V752" s="65" t="str">
        <f t="shared" si="91"/>
        <v/>
      </c>
      <c r="W752" s="66" t="str">
        <f t="shared" si="92"/>
        <v/>
      </c>
      <c r="X752" s="62" t="str">
        <f t="shared" si="93"/>
        <v/>
      </c>
      <c r="Y752" s="45"/>
      <c r="Z752" s="44"/>
      <c r="AA752" s="41"/>
      <c r="AB752" s="39"/>
      <c r="AC752" s="37" t="str">
        <f t="shared" si="94"/>
        <v/>
      </c>
    </row>
    <row r="753" spans="2:29" x14ac:dyDescent="0.25">
      <c r="B753" s="54">
        <v>747</v>
      </c>
      <c r="C753" s="168"/>
      <c r="D753" s="51"/>
      <c r="E753" s="29"/>
      <c r="F753" s="48"/>
      <c r="G753" s="29"/>
      <c r="H753" s="187"/>
      <c r="I753" s="187"/>
      <c r="J753" s="195"/>
      <c r="K753" s="86" t="str">
        <f t="shared" si="88"/>
        <v/>
      </c>
      <c r="L753" s="57" t="str">
        <f t="shared" si="95"/>
        <v/>
      </c>
      <c r="M753" s="186"/>
      <c r="N753" s="189"/>
      <c r="O753" s="190"/>
      <c r="P753" s="190" t="str">
        <f>IF(OR(ISBLANK(V753),COUNTBLANK(V753:$V$1048576)=ROWS(V753:$V$1048576)),"",$R$2*(1+SUM(V$7:V753)))</f>
        <v/>
      </c>
      <c r="Q753" s="191"/>
      <c r="R753" s="189"/>
      <c r="S753" s="53" t="str">
        <f t="shared" si="89"/>
        <v/>
      </c>
      <c r="T753" s="63" t="str">
        <f t="shared" si="90"/>
        <v/>
      </c>
      <c r="U753" s="64" t="str">
        <f>IF(OR(ISBLANK(Trades!R753), ISBLANK(Trades!H753), ISBLANK(Trades!I753)), "", IF(Trades!H753=Trades!I753, "N/A", (Trades!R753-Trades!H753)/(Trades!H753-Trades!I753)))</f>
        <v/>
      </c>
      <c r="V753" s="65" t="str">
        <f t="shared" si="91"/>
        <v/>
      </c>
      <c r="W753" s="66" t="str">
        <f t="shared" si="92"/>
        <v/>
      </c>
      <c r="X753" s="62" t="str">
        <f t="shared" si="93"/>
        <v/>
      </c>
      <c r="Y753" s="45"/>
      <c r="Z753" s="44"/>
      <c r="AA753" s="41"/>
      <c r="AB753" s="39"/>
      <c r="AC753" s="37" t="str">
        <f t="shared" si="94"/>
        <v/>
      </c>
    </row>
    <row r="754" spans="2:29" x14ac:dyDescent="0.25">
      <c r="B754" s="54">
        <v>748</v>
      </c>
      <c r="C754" s="168"/>
      <c r="D754" s="51"/>
      <c r="E754" s="29"/>
      <c r="F754" s="48"/>
      <c r="G754" s="29"/>
      <c r="H754" s="187"/>
      <c r="I754" s="187"/>
      <c r="J754" s="195"/>
      <c r="K754" s="86" t="str">
        <f t="shared" si="88"/>
        <v/>
      </c>
      <c r="L754" s="57" t="str">
        <f t="shared" si="95"/>
        <v/>
      </c>
      <c r="M754" s="186"/>
      <c r="N754" s="189"/>
      <c r="O754" s="190"/>
      <c r="P754" s="190" t="str">
        <f>IF(OR(ISBLANK(V754),COUNTBLANK(V754:$V$1048576)=ROWS(V754:$V$1048576)),"",$R$2*(1+SUM(V$7:V754)))</f>
        <v/>
      </c>
      <c r="Q754" s="191"/>
      <c r="R754" s="189"/>
      <c r="S754" s="53" t="str">
        <f t="shared" si="89"/>
        <v/>
      </c>
      <c r="T754" s="63" t="str">
        <f t="shared" si="90"/>
        <v/>
      </c>
      <c r="U754" s="64" t="str">
        <f>IF(OR(ISBLANK(Trades!R754), ISBLANK(Trades!H754), ISBLANK(Trades!I754)), "", IF(Trades!H754=Trades!I754, "N/A", (Trades!R754-Trades!H754)/(Trades!H754-Trades!I754)))</f>
        <v/>
      </c>
      <c r="V754" s="65" t="str">
        <f t="shared" si="91"/>
        <v/>
      </c>
      <c r="W754" s="66" t="str">
        <f t="shared" si="92"/>
        <v/>
      </c>
      <c r="X754" s="62" t="str">
        <f t="shared" si="93"/>
        <v/>
      </c>
      <c r="Y754" s="45"/>
      <c r="Z754" s="44"/>
      <c r="AA754" s="41"/>
      <c r="AB754" s="39"/>
      <c r="AC754" s="37" t="str">
        <f t="shared" si="94"/>
        <v/>
      </c>
    </row>
    <row r="755" spans="2:29" x14ac:dyDescent="0.25">
      <c r="B755" s="54">
        <v>749</v>
      </c>
      <c r="C755" s="168"/>
      <c r="D755" s="51"/>
      <c r="E755" s="29"/>
      <c r="F755" s="48"/>
      <c r="G755" s="29"/>
      <c r="H755" s="187"/>
      <c r="I755" s="187"/>
      <c r="J755" s="195"/>
      <c r="K755" s="86" t="str">
        <f t="shared" si="88"/>
        <v/>
      </c>
      <c r="L755" s="57" t="str">
        <f t="shared" si="95"/>
        <v/>
      </c>
      <c r="M755" s="186"/>
      <c r="N755" s="189"/>
      <c r="O755" s="190"/>
      <c r="P755" s="190" t="str">
        <f>IF(OR(ISBLANK(V755),COUNTBLANK(V755:$V$1048576)=ROWS(V755:$V$1048576)),"",$R$2*(1+SUM(V$7:V755)))</f>
        <v/>
      </c>
      <c r="Q755" s="191"/>
      <c r="R755" s="189"/>
      <c r="S755" s="53" t="str">
        <f t="shared" si="89"/>
        <v/>
      </c>
      <c r="T755" s="63" t="str">
        <f t="shared" si="90"/>
        <v/>
      </c>
      <c r="U755" s="64" t="str">
        <f>IF(OR(ISBLANK(Trades!R755), ISBLANK(Trades!H755), ISBLANK(Trades!I755)), "", IF(Trades!H755=Trades!I755, "N/A", (Trades!R755-Trades!H755)/(Trades!H755-Trades!I755)))</f>
        <v/>
      </c>
      <c r="V755" s="65" t="str">
        <f t="shared" si="91"/>
        <v/>
      </c>
      <c r="W755" s="66" t="str">
        <f t="shared" si="92"/>
        <v/>
      </c>
      <c r="X755" s="62" t="str">
        <f t="shared" si="93"/>
        <v/>
      </c>
      <c r="Y755" s="45"/>
      <c r="Z755" s="44"/>
      <c r="AA755" s="41"/>
      <c r="AB755" s="39"/>
      <c r="AC755" s="37" t="str">
        <f t="shared" si="94"/>
        <v/>
      </c>
    </row>
    <row r="756" spans="2:29" x14ac:dyDescent="0.25">
      <c r="B756" s="54">
        <v>750</v>
      </c>
      <c r="C756" s="168"/>
      <c r="D756" s="51"/>
      <c r="E756" s="29"/>
      <c r="F756" s="48"/>
      <c r="G756" s="29"/>
      <c r="H756" s="187"/>
      <c r="I756" s="187"/>
      <c r="J756" s="195"/>
      <c r="K756" s="86" t="str">
        <f t="shared" si="88"/>
        <v/>
      </c>
      <c r="L756" s="57" t="str">
        <f t="shared" si="95"/>
        <v/>
      </c>
      <c r="M756" s="186"/>
      <c r="N756" s="189"/>
      <c r="O756" s="190"/>
      <c r="P756" s="190" t="str">
        <f>IF(OR(ISBLANK(V756),COUNTBLANK(V756:$V$1048576)=ROWS(V756:$V$1048576)),"",$R$2*(1+SUM(V$7:V756)))</f>
        <v/>
      </c>
      <c r="Q756" s="191"/>
      <c r="R756" s="189"/>
      <c r="S756" s="53" t="str">
        <f t="shared" si="89"/>
        <v/>
      </c>
      <c r="T756" s="63" t="str">
        <f t="shared" si="90"/>
        <v/>
      </c>
      <c r="U756" s="64" t="str">
        <f>IF(OR(ISBLANK(Trades!R756), ISBLANK(Trades!H756), ISBLANK(Trades!I756)), "", IF(Trades!H756=Trades!I756, "N/A", (Trades!R756-Trades!H756)/(Trades!H756-Trades!I756)))</f>
        <v/>
      </c>
      <c r="V756" s="65" t="str">
        <f t="shared" si="91"/>
        <v/>
      </c>
      <c r="W756" s="66" t="str">
        <f t="shared" si="92"/>
        <v/>
      </c>
      <c r="X756" s="62" t="str">
        <f t="shared" si="93"/>
        <v/>
      </c>
      <c r="Y756" s="45"/>
      <c r="Z756" s="44"/>
      <c r="AA756" s="41"/>
      <c r="AB756" s="39"/>
      <c r="AC756" s="37" t="str">
        <f t="shared" si="94"/>
        <v/>
      </c>
    </row>
    <row r="757" spans="2:29" x14ac:dyDescent="0.25">
      <c r="B757" s="54">
        <v>751</v>
      </c>
      <c r="C757" s="168"/>
      <c r="D757" s="51"/>
      <c r="E757" s="29"/>
      <c r="F757" s="48"/>
      <c r="G757" s="29"/>
      <c r="H757" s="187"/>
      <c r="I757" s="187"/>
      <c r="J757" s="195"/>
      <c r="K757" s="86" t="str">
        <f t="shared" si="88"/>
        <v/>
      </c>
      <c r="L757" s="57" t="str">
        <f t="shared" si="95"/>
        <v/>
      </c>
      <c r="M757" s="186"/>
      <c r="N757" s="189"/>
      <c r="O757" s="190"/>
      <c r="P757" s="190" t="str">
        <f>IF(OR(ISBLANK(V757),COUNTBLANK(V757:$V$1048576)=ROWS(V757:$V$1048576)),"",$R$2*(1+SUM(V$7:V757)))</f>
        <v/>
      </c>
      <c r="Q757" s="191"/>
      <c r="R757" s="189"/>
      <c r="S757" s="53" t="str">
        <f t="shared" si="89"/>
        <v/>
      </c>
      <c r="T757" s="63" t="str">
        <f t="shared" si="90"/>
        <v/>
      </c>
      <c r="U757" s="64" t="str">
        <f>IF(OR(ISBLANK(Trades!R757), ISBLANK(Trades!H757), ISBLANK(Trades!I757)), "", IF(Trades!H757=Trades!I757, "N/A", (Trades!R757-Trades!H757)/(Trades!H757-Trades!I757)))</f>
        <v/>
      </c>
      <c r="V757" s="65" t="str">
        <f t="shared" si="91"/>
        <v/>
      </c>
      <c r="W757" s="66" t="str">
        <f t="shared" si="92"/>
        <v/>
      </c>
      <c r="X757" s="62" t="str">
        <f t="shared" si="93"/>
        <v/>
      </c>
      <c r="Y757" s="45"/>
      <c r="Z757" s="44"/>
      <c r="AA757" s="41"/>
      <c r="AB757" s="39"/>
      <c r="AC757" s="37" t="str">
        <f t="shared" si="94"/>
        <v/>
      </c>
    </row>
    <row r="758" spans="2:29" x14ac:dyDescent="0.25">
      <c r="B758" s="54">
        <v>752</v>
      </c>
      <c r="C758" s="168"/>
      <c r="D758" s="51"/>
      <c r="E758" s="29"/>
      <c r="F758" s="48"/>
      <c r="G758" s="29"/>
      <c r="H758" s="187"/>
      <c r="I758" s="187"/>
      <c r="J758" s="195"/>
      <c r="K758" s="86" t="str">
        <f t="shared" si="88"/>
        <v/>
      </c>
      <c r="L758" s="57" t="str">
        <f t="shared" si="95"/>
        <v/>
      </c>
      <c r="M758" s="186"/>
      <c r="N758" s="189"/>
      <c r="O758" s="190"/>
      <c r="P758" s="190" t="str">
        <f>IF(OR(ISBLANK(V758),COUNTBLANK(V758:$V$1048576)=ROWS(V758:$V$1048576)),"",$R$2*(1+SUM(V$7:V758)))</f>
        <v/>
      </c>
      <c r="Q758" s="191"/>
      <c r="R758" s="189"/>
      <c r="S758" s="53" t="str">
        <f t="shared" si="89"/>
        <v/>
      </c>
      <c r="T758" s="63" t="str">
        <f t="shared" si="90"/>
        <v/>
      </c>
      <c r="U758" s="64" t="str">
        <f>IF(OR(ISBLANK(Trades!R758), ISBLANK(Trades!H758), ISBLANK(Trades!I758)), "", IF(Trades!H758=Trades!I758, "N/A", (Trades!R758-Trades!H758)/(Trades!H758-Trades!I758)))</f>
        <v/>
      </c>
      <c r="V758" s="65" t="str">
        <f t="shared" si="91"/>
        <v/>
      </c>
      <c r="W758" s="66" t="str">
        <f t="shared" si="92"/>
        <v/>
      </c>
      <c r="X758" s="62" t="str">
        <f t="shared" si="93"/>
        <v/>
      </c>
      <c r="Y758" s="45"/>
      <c r="Z758" s="44"/>
      <c r="AA758" s="41"/>
      <c r="AB758" s="39"/>
      <c r="AC758" s="37" t="str">
        <f t="shared" si="94"/>
        <v/>
      </c>
    </row>
    <row r="759" spans="2:29" x14ac:dyDescent="0.25">
      <c r="B759" s="54">
        <v>753</v>
      </c>
      <c r="C759" s="168"/>
      <c r="D759" s="51"/>
      <c r="E759" s="29"/>
      <c r="F759" s="48"/>
      <c r="G759" s="29"/>
      <c r="H759" s="187"/>
      <c r="I759" s="187"/>
      <c r="J759" s="195"/>
      <c r="K759" s="86" t="str">
        <f t="shared" si="88"/>
        <v/>
      </c>
      <c r="L759" s="57" t="str">
        <f t="shared" si="95"/>
        <v/>
      </c>
      <c r="M759" s="186"/>
      <c r="N759" s="189"/>
      <c r="O759" s="190"/>
      <c r="P759" s="190" t="str">
        <f>IF(OR(ISBLANK(V759),COUNTBLANK(V759:$V$1048576)=ROWS(V759:$V$1048576)),"",$R$2*(1+SUM(V$7:V759)))</f>
        <v/>
      </c>
      <c r="Q759" s="191"/>
      <c r="R759" s="189"/>
      <c r="S759" s="53" t="str">
        <f t="shared" si="89"/>
        <v/>
      </c>
      <c r="T759" s="63" t="str">
        <f t="shared" si="90"/>
        <v/>
      </c>
      <c r="U759" s="64" t="str">
        <f>IF(OR(ISBLANK(Trades!R759), ISBLANK(Trades!H759), ISBLANK(Trades!I759)), "", IF(Trades!H759=Trades!I759, "N/A", (Trades!R759-Trades!H759)/(Trades!H759-Trades!I759)))</f>
        <v/>
      </c>
      <c r="V759" s="65" t="str">
        <f t="shared" si="91"/>
        <v/>
      </c>
      <c r="W759" s="66" t="str">
        <f t="shared" si="92"/>
        <v/>
      </c>
      <c r="X759" s="62" t="str">
        <f t="shared" si="93"/>
        <v/>
      </c>
      <c r="Y759" s="45"/>
      <c r="Z759" s="44"/>
      <c r="AA759" s="41"/>
      <c r="AB759" s="39"/>
      <c r="AC759" s="37" t="str">
        <f t="shared" si="94"/>
        <v/>
      </c>
    </row>
    <row r="760" spans="2:29" x14ac:dyDescent="0.25">
      <c r="B760" s="54">
        <v>754</v>
      </c>
      <c r="C760" s="168"/>
      <c r="D760" s="51"/>
      <c r="E760" s="29"/>
      <c r="F760" s="48"/>
      <c r="G760" s="29"/>
      <c r="H760" s="187"/>
      <c r="I760" s="187"/>
      <c r="J760" s="195"/>
      <c r="K760" s="86" t="str">
        <f t="shared" si="88"/>
        <v/>
      </c>
      <c r="L760" s="57" t="str">
        <f t="shared" si="95"/>
        <v/>
      </c>
      <c r="M760" s="186"/>
      <c r="N760" s="189"/>
      <c r="O760" s="190"/>
      <c r="P760" s="190" t="str">
        <f>IF(OR(ISBLANK(V760),COUNTBLANK(V760:$V$1048576)=ROWS(V760:$V$1048576)),"",$R$2*(1+SUM(V$7:V760)))</f>
        <v/>
      </c>
      <c r="Q760" s="191"/>
      <c r="R760" s="189"/>
      <c r="S760" s="53" t="str">
        <f t="shared" si="89"/>
        <v/>
      </c>
      <c r="T760" s="63" t="str">
        <f t="shared" si="90"/>
        <v/>
      </c>
      <c r="U760" s="64" t="str">
        <f>IF(OR(ISBLANK(Trades!R760), ISBLANK(Trades!H760), ISBLANK(Trades!I760)), "", IF(Trades!H760=Trades!I760, "N/A", (Trades!R760-Trades!H760)/(Trades!H760-Trades!I760)))</f>
        <v/>
      </c>
      <c r="V760" s="65" t="str">
        <f t="shared" si="91"/>
        <v/>
      </c>
      <c r="W760" s="66" t="str">
        <f t="shared" si="92"/>
        <v/>
      </c>
      <c r="X760" s="62" t="str">
        <f t="shared" si="93"/>
        <v/>
      </c>
      <c r="Y760" s="45"/>
      <c r="Z760" s="44"/>
      <c r="AA760" s="41"/>
      <c r="AB760" s="39"/>
      <c r="AC760" s="37" t="str">
        <f t="shared" si="94"/>
        <v/>
      </c>
    </row>
    <row r="761" spans="2:29" x14ac:dyDescent="0.25">
      <c r="B761" s="54">
        <v>755</v>
      </c>
      <c r="C761" s="168"/>
      <c r="D761" s="51"/>
      <c r="E761" s="29"/>
      <c r="F761" s="48"/>
      <c r="G761" s="29"/>
      <c r="H761" s="187"/>
      <c r="I761" s="187"/>
      <c r="J761" s="195"/>
      <c r="K761" s="86" t="str">
        <f t="shared" si="88"/>
        <v/>
      </c>
      <c r="L761" s="57" t="str">
        <f t="shared" si="95"/>
        <v/>
      </c>
      <c r="M761" s="186"/>
      <c r="N761" s="189"/>
      <c r="O761" s="190"/>
      <c r="P761" s="190" t="str">
        <f>IF(OR(ISBLANK(V761),COUNTBLANK(V761:$V$1048576)=ROWS(V761:$V$1048576)),"",$R$2*(1+SUM(V$7:V761)))</f>
        <v/>
      </c>
      <c r="Q761" s="191"/>
      <c r="R761" s="189"/>
      <c r="S761" s="53" t="str">
        <f t="shared" si="89"/>
        <v/>
      </c>
      <c r="T761" s="63" t="str">
        <f t="shared" si="90"/>
        <v/>
      </c>
      <c r="U761" s="64" t="str">
        <f>IF(OR(ISBLANK(Trades!R761), ISBLANK(Trades!H761), ISBLANK(Trades!I761)), "", IF(Trades!H761=Trades!I761, "N/A", (Trades!R761-Trades!H761)/(Trades!H761-Trades!I761)))</f>
        <v/>
      </c>
      <c r="V761" s="65" t="str">
        <f t="shared" si="91"/>
        <v/>
      </c>
      <c r="W761" s="66" t="str">
        <f t="shared" si="92"/>
        <v/>
      </c>
      <c r="X761" s="62" t="str">
        <f t="shared" si="93"/>
        <v/>
      </c>
      <c r="Y761" s="45"/>
      <c r="Z761" s="44"/>
      <c r="AA761" s="41"/>
      <c r="AB761" s="39"/>
      <c r="AC761" s="37" t="str">
        <f t="shared" si="94"/>
        <v/>
      </c>
    </row>
    <row r="762" spans="2:29" x14ac:dyDescent="0.25">
      <c r="B762" s="54">
        <v>756</v>
      </c>
      <c r="C762" s="168"/>
      <c r="D762" s="51"/>
      <c r="E762" s="29"/>
      <c r="F762" s="48"/>
      <c r="G762" s="29"/>
      <c r="H762" s="187"/>
      <c r="I762" s="187"/>
      <c r="J762" s="195"/>
      <c r="K762" s="86" t="str">
        <f t="shared" si="88"/>
        <v/>
      </c>
      <c r="L762" s="57" t="str">
        <f t="shared" si="95"/>
        <v/>
      </c>
      <c r="M762" s="186"/>
      <c r="N762" s="189"/>
      <c r="O762" s="190"/>
      <c r="P762" s="190" t="str">
        <f>IF(OR(ISBLANK(V762),COUNTBLANK(V762:$V$1048576)=ROWS(V762:$V$1048576)),"",$R$2*(1+SUM(V$7:V762)))</f>
        <v/>
      </c>
      <c r="Q762" s="191"/>
      <c r="R762" s="189"/>
      <c r="S762" s="53" t="str">
        <f t="shared" si="89"/>
        <v/>
      </c>
      <c r="T762" s="63" t="str">
        <f t="shared" si="90"/>
        <v/>
      </c>
      <c r="U762" s="64" t="str">
        <f>IF(OR(ISBLANK(Trades!R762), ISBLANK(Trades!H762), ISBLANK(Trades!I762)), "", IF(Trades!H762=Trades!I762, "N/A", (Trades!R762-Trades!H762)/(Trades!H762-Trades!I762)))</f>
        <v/>
      </c>
      <c r="V762" s="65" t="str">
        <f t="shared" si="91"/>
        <v/>
      </c>
      <c r="W762" s="66" t="str">
        <f t="shared" si="92"/>
        <v/>
      </c>
      <c r="X762" s="62" t="str">
        <f t="shared" si="93"/>
        <v/>
      </c>
      <c r="Y762" s="45"/>
      <c r="Z762" s="44"/>
      <c r="AA762" s="41"/>
      <c r="AB762" s="39"/>
      <c r="AC762" s="37" t="str">
        <f t="shared" si="94"/>
        <v/>
      </c>
    </row>
    <row r="763" spans="2:29" x14ac:dyDescent="0.25">
      <c r="B763" s="54">
        <v>757</v>
      </c>
      <c r="C763" s="168"/>
      <c r="D763" s="51"/>
      <c r="E763" s="29"/>
      <c r="F763" s="48"/>
      <c r="G763" s="29"/>
      <c r="H763" s="187"/>
      <c r="I763" s="187"/>
      <c r="J763" s="195"/>
      <c r="K763" s="86" t="str">
        <f t="shared" si="88"/>
        <v/>
      </c>
      <c r="L763" s="57" t="str">
        <f t="shared" si="95"/>
        <v/>
      </c>
      <c r="M763" s="186"/>
      <c r="N763" s="189"/>
      <c r="O763" s="190"/>
      <c r="P763" s="190" t="str">
        <f>IF(OR(ISBLANK(V763),COUNTBLANK(V763:$V$1048576)=ROWS(V763:$V$1048576)),"",$R$2*(1+SUM(V$7:V763)))</f>
        <v/>
      </c>
      <c r="Q763" s="191"/>
      <c r="R763" s="189"/>
      <c r="S763" s="53" t="str">
        <f t="shared" si="89"/>
        <v/>
      </c>
      <c r="T763" s="63" t="str">
        <f t="shared" si="90"/>
        <v/>
      </c>
      <c r="U763" s="64" t="str">
        <f>IF(OR(ISBLANK(Trades!R763), ISBLANK(Trades!H763), ISBLANK(Trades!I763)), "", IF(Trades!H763=Trades!I763, "N/A", (Trades!R763-Trades!H763)/(Trades!H763-Trades!I763)))</f>
        <v/>
      </c>
      <c r="V763" s="65" t="str">
        <f t="shared" si="91"/>
        <v/>
      </c>
      <c r="W763" s="66" t="str">
        <f t="shared" si="92"/>
        <v/>
      </c>
      <c r="X763" s="62" t="str">
        <f t="shared" si="93"/>
        <v/>
      </c>
      <c r="Y763" s="45"/>
      <c r="Z763" s="44"/>
      <c r="AA763" s="41"/>
      <c r="AB763" s="39"/>
      <c r="AC763" s="37" t="str">
        <f t="shared" si="94"/>
        <v/>
      </c>
    </row>
    <row r="764" spans="2:29" x14ac:dyDescent="0.25">
      <c r="B764" s="54">
        <v>758</v>
      </c>
      <c r="C764" s="168"/>
      <c r="D764" s="51"/>
      <c r="E764" s="29"/>
      <c r="F764" s="48"/>
      <c r="G764" s="29"/>
      <c r="H764" s="187"/>
      <c r="I764" s="187"/>
      <c r="J764" s="195"/>
      <c r="K764" s="86" t="str">
        <f t="shared" si="88"/>
        <v/>
      </c>
      <c r="L764" s="57" t="str">
        <f t="shared" si="95"/>
        <v/>
      </c>
      <c r="M764" s="186"/>
      <c r="N764" s="189"/>
      <c r="O764" s="190"/>
      <c r="P764" s="190" t="str">
        <f>IF(OR(ISBLANK(V764),COUNTBLANK(V764:$V$1048576)=ROWS(V764:$V$1048576)),"",$R$2*(1+SUM(V$7:V764)))</f>
        <v/>
      </c>
      <c r="Q764" s="191"/>
      <c r="R764" s="189"/>
      <c r="S764" s="53" t="str">
        <f t="shared" si="89"/>
        <v/>
      </c>
      <c r="T764" s="63" t="str">
        <f t="shared" si="90"/>
        <v/>
      </c>
      <c r="U764" s="64" t="str">
        <f>IF(OR(ISBLANK(Trades!R764), ISBLANK(Trades!H764), ISBLANK(Trades!I764)), "", IF(Trades!H764=Trades!I764, "N/A", (Trades!R764-Trades!H764)/(Trades!H764-Trades!I764)))</f>
        <v/>
      </c>
      <c r="V764" s="65" t="str">
        <f t="shared" si="91"/>
        <v/>
      </c>
      <c r="W764" s="66" t="str">
        <f t="shared" si="92"/>
        <v/>
      </c>
      <c r="X764" s="62" t="str">
        <f t="shared" si="93"/>
        <v/>
      </c>
      <c r="Y764" s="45"/>
      <c r="Z764" s="44"/>
      <c r="AA764" s="41"/>
      <c r="AB764" s="39"/>
      <c r="AC764" s="37" t="str">
        <f t="shared" si="94"/>
        <v/>
      </c>
    </row>
    <row r="765" spans="2:29" x14ac:dyDescent="0.25">
      <c r="B765" s="54">
        <v>759</v>
      </c>
      <c r="C765" s="168"/>
      <c r="D765" s="51"/>
      <c r="E765" s="29"/>
      <c r="F765" s="48"/>
      <c r="G765" s="29"/>
      <c r="H765" s="187"/>
      <c r="I765" s="187"/>
      <c r="J765" s="195"/>
      <c r="K765" s="86" t="str">
        <f t="shared" si="88"/>
        <v/>
      </c>
      <c r="L765" s="57" t="str">
        <f t="shared" si="95"/>
        <v/>
      </c>
      <c r="M765" s="186"/>
      <c r="N765" s="189"/>
      <c r="O765" s="190"/>
      <c r="P765" s="190" t="str">
        <f>IF(OR(ISBLANK(V765),COUNTBLANK(V765:$V$1048576)=ROWS(V765:$V$1048576)),"",$R$2*(1+SUM(V$7:V765)))</f>
        <v/>
      </c>
      <c r="Q765" s="191"/>
      <c r="R765" s="189"/>
      <c r="S765" s="53" t="str">
        <f t="shared" si="89"/>
        <v/>
      </c>
      <c r="T765" s="63" t="str">
        <f t="shared" si="90"/>
        <v/>
      </c>
      <c r="U765" s="64" t="str">
        <f>IF(OR(ISBLANK(Trades!R765), ISBLANK(Trades!H765), ISBLANK(Trades!I765)), "", IF(Trades!H765=Trades!I765, "N/A", (Trades!R765-Trades!H765)/(Trades!H765-Trades!I765)))</f>
        <v/>
      </c>
      <c r="V765" s="65" t="str">
        <f t="shared" si="91"/>
        <v/>
      </c>
      <c r="W765" s="66" t="str">
        <f t="shared" si="92"/>
        <v/>
      </c>
      <c r="X765" s="62" t="str">
        <f t="shared" si="93"/>
        <v/>
      </c>
      <c r="Y765" s="45"/>
      <c r="Z765" s="44"/>
      <c r="AA765" s="41"/>
      <c r="AB765" s="39"/>
      <c r="AC765" s="37" t="str">
        <f t="shared" si="94"/>
        <v/>
      </c>
    </row>
    <row r="766" spans="2:29" x14ac:dyDescent="0.25">
      <c r="B766" s="54">
        <v>760</v>
      </c>
      <c r="C766" s="168"/>
      <c r="D766" s="51"/>
      <c r="E766" s="29"/>
      <c r="F766" s="48"/>
      <c r="G766" s="29"/>
      <c r="H766" s="187"/>
      <c r="I766" s="187"/>
      <c r="J766" s="195"/>
      <c r="K766" s="86" t="str">
        <f t="shared" si="88"/>
        <v/>
      </c>
      <c r="L766" s="57" t="str">
        <f t="shared" si="95"/>
        <v/>
      </c>
      <c r="M766" s="186"/>
      <c r="N766" s="189"/>
      <c r="O766" s="190"/>
      <c r="P766" s="190" t="str">
        <f>IF(OR(ISBLANK(V766),COUNTBLANK(V766:$V$1048576)=ROWS(V766:$V$1048576)),"",$R$2*(1+SUM(V$7:V766)))</f>
        <v/>
      </c>
      <c r="Q766" s="191"/>
      <c r="R766" s="189"/>
      <c r="S766" s="53" t="str">
        <f t="shared" si="89"/>
        <v/>
      </c>
      <c r="T766" s="63" t="str">
        <f t="shared" si="90"/>
        <v/>
      </c>
      <c r="U766" s="64" t="str">
        <f>IF(OR(ISBLANK(Trades!R766), ISBLANK(Trades!H766), ISBLANK(Trades!I766)), "", IF(Trades!H766=Trades!I766, "N/A", (Trades!R766-Trades!H766)/(Trades!H766-Trades!I766)))</f>
        <v/>
      </c>
      <c r="V766" s="65" t="str">
        <f t="shared" si="91"/>
        <v/>
      </c>
      <c r="W766" s="66" t="str">
        <f t="shared" si="92"/>
        <v/>
      </c>
      <c r="X766" s="62" t="str">
        <f t="shared" si="93"/>
        <v/>
      </c>
      <c r="Y766" s="45"/>
      <c r="Z766" s="44"/>
      <c r="AA766" s="41"/>
      <c r="AB766" s="39"/>
      <c r="AC766" s="37" t="str">
        <f t="shared" si="94"/>
        <v/>
      </c>
    </row>
    <row r="767" spans="2:29" x14ac:dyDescent="0.25">
      <c r="B767" s="54">
        <v>761</v>
      </c>
      <c r="C767" s="168"/>
      <c r="D767" s="51"/>
      <c r="E767" s="29"/>
      <c r="F767" s="48"/>
      <c r="G767" s="29"/>
      <c r="H767" s="187"/>
      <c r="I767" s="187"/>
      <c r="J767" s="195"/>
      <c r="K767" s="86" t="str">
        <f t="shared" si="88"/>
        <v/>
      </c>
      <c r="L767" s="57" t="str">
        <f t="shared" si="95"/>
        <v/>
      </c>
      <c r="M767" s="186"/>
      <c r="N767" s="189"/>
      <c r="O767" s="190"/>
      <c r="P767" s="190" t="str">
        <f>IF(OR(ISBLANK(V767),COUNTBLANK(V767:$V$1048576)=ROWS(V767:$V$1048576)),"",$R$2*(1+SUM(V$7:V767)))</f>
        <v/>
      </c>
      <c r="Q767" s="191"/>
      <c r="R767" s="189"/>
      <c r="S767" s="53" t="str">
        <f t="shared" si="89"/>
        <v/>
      </c>
      <c r="T767" s="63" t="str">
        <f t="shared" si="90"/>
        <v/>
      </c>
      <c r="U767" s="64" t="str">
        <f>IF(OR(ISBLANK(Trades!R767), ISBLANK(Trades!H767), ISBLANK(Trades!I767)), "", IF(Trades!H767=Trades!I767, "N/A", (Trades!R767-Trades!H767)/(Trades!H767-Trades!I767)))</f>
        <v/>
      </c>
      <c r="V767" s="65" t="str">
        <f t="shared" si="91"/>
        <v/>
      </c>
      <c r="W767" s="66" t="str">
        <f t="shared" si="92"/>
        <v/>
      </c>
      <c r="X767" s="62" t="str">
        <f t="shared" si="93"/>
        <v/>
      </c>
      <c r="Y767" s="45"/>
      <c r="Z767" s="44"/>
      <c r="AA767" s="41"/>
      <c r="AB767" s="39"/>
      <c r="AC767" s="37" t="str">
        <f t="shared" si="94"/>
        <v/>
      </c>
    </row>
    <row r="768" spans="2:29" x14ac:dyDescent="0.25">
      <c r="B768" s="54">
        <v>762</v>
      </c>
      <c r="C768" s="168"/>
      <c r="D768" s="51"/>
      <c r="E768" s="29"/>
      <c r="F768" s="48"/>
      <c r="G768" s="29"/>
      <c r="H768" s="187"/>
      <c r="I768" s="187"/>
      <c r="J768" s="195"/>
      <c r="K768" s="86" t="str">
        <f t="shared" si="88"/>
        <v/>
      </c>
      <c r="L768" s="57" t="str">
        <f t="shared" si="95"/>
        <v/>
      </c>
      <c r="M768" s="186"/>
      <c r="N768" s="189"/>
      <c r="O768" s="190"/>
      <c r="P768" s="190" t="str">
        <f>IF(OR(ISBLANK(V768),COUNTBLANK(V768:$V$1048576)=ROWS(V768:$V$1048576)),"",$R$2*(1+SUM(V$7:V768)))</f>
        <v/>
      </c>
      <c r="Q768" s="191"/>
      <c r="R768" s="189"/>
      <c r="S768" s="53" t="str">
        <f t="shared" si="89"/>
        <v/>
      </c>
      <c r="T768" s="63" t="str">
        <f t="shared" si="90"/>
        <v/>
      </c>
      <c r="U768" s="64" t="str">
        <f>IF(OR(ISBLANK(Trades!R768), ISBLANK(Trades!H768), ISBLANK(Trades!I768)), "", IF(Trades!H768=Trades!I768, "N/A", (Trades!R768-Trades!H768)/(Trades!H768-Trades!I768)))</f>
        <v/>
      </c>
      <c r="V768" s="65" t="str">
        <f t="shared" si="91"/>
        <v/>
      </c>
      <c r="W768" s="66" t="str">
        <f t="shared" si="92"/>
        <v/>
      </c>
      <c r="X768" s="62" t="str">
        <f t="shared" si="93"/>
        <v/>
      </c>
      <c r="Y768" s="45"/>
      <c r="Z768" s="44"/>
      <c r="AA768" s="41"/>
      <c r="AB768" s="39"/>
      <c r="AC768" s="37" t="str">
        <f t="shared" si="94"/>
        <v/>
      </c>
    </row>
    <row r="769" spans="2:29" x14ac:dyDescent="0.25">
      <c r="B769" s="54">
        <v>763</v>
      </c>
      <c r="C769" s="168"/>
      <c r="D769" s="51"/>
      <c r="E769" s="29"/>
      <c r="F769" s="48"/>
      <c r="G769" s="29"/>
      <c r="H769" s="187"/>
      <c r="I769" s="187"/>
      <c r="J769" s="195"/>
      <c r="K769" s="86" t="str">
        <f t="shared" si="88"/>
        <v/>
      </c>
      <c r="L769" s="57" t="str">
        <f t="shared" si="95"/>
        <v/>
      </c>
      <c r="M769" s="186"/>
      <c r="N769" s="189"/>
      <c r="O769" s="190"/>
      <c r="P769" s="190" t="str">
        <f>IF(OR(ISBLANK(V769),COUNTBLANK(V769:$V$1048576)=ROWS(V769:$V$1048576)),"",$R$2*(1+SUM(V$7:V769)))</f>
        <v/>
      </c>
      <c r="Q769" s="191"/>
      <c r="R769" s="189"/>
      <c r="S769" s="53" t="str">
        <f t="shared" si="89"/>
        <v/>
      </c>
      <c r="T769" s="63" t="str">
        <f t="shared" si="90"/>
        <v/>
      </c>
      <c r="U769" s="64" t="str">
        <f>IF(OR(ISBLANK(Trades!R769), ISBLANK(Trades!H769), ISBLANK(Trades!I769)), "", IF(Trades!H769=Trades!I769, "N/A", (Trades!R769-Trades!H769)/(Trades!H769-Trades!I769)))</f>
        <v/>
      </c>
      <c r="V769" s="65" t="str">
        <f t="shared" si="91"/>
        <v/>
      </c>
      <c r="W769" s="66" t="str">
        <f t="shared" si="92"/>
        <v/>
      </c>
      <c r="X769" s="62" t="str">
        <f t="shared" si="93"/>
        <v/>
      </c>
      <c r="Y769" s="45"/>
      <c r="Z769" s="44"/>
      <c r="AA769" s="41"/>
      <c r="AB769" s="39"/>
      <c r="AC769" s="37" t="str">
        <f t="shared" si="94"/>
        <v/>
      </c>
    </row>
    <row r="770" spans="2:29" x14ac:dyDescent="0.25">
      <c r="B770" s="54">
        <v>764</v>
      </c>
      <c r="C770" s="168"/>
      <c r="D770" s="51"/>
      <c r="E770" s="29"/>
      <c r="F770" s="48"/>
      <c r="G770" s="29"/>
      <c r="H770" s="187"/>
      <c r="I770" s="187"/>
      <c r="J770" s="195"/>
      <c r="K770" s="86" t="str">
        <f t="shared" si="88"/>
        <v/>
      </c>
      <c r="L770" s="57" t="str">
        <f t="shared" si="95"/>
        <v/>
      </c>
      <c r="M770" s="186"/>
      <c r="N770" s="189"/>
      <c r="O770" s="190"/>
      <c r="P770" s="190" t="str">
        <f>IF(OR(ISBLANK(V770),COUNTBLANK(V770:$V$1048576)=ROWS(V770:$V$1048576)),"",$R$2*(1+SUM(V$7:V770)))</f>
        <v/>
      </c>
      <c r="Q770" s="191"/>
      <c r="R770" s="189"/>
      <c r="S770" s="53" t="str">
        <f t="shared" si="89"/>
        <v/>
      </c>
      <c r="T770" s="63" t="str">
        <f t="shared" si="90"/>
        <v/>
      </c>
      <c r="U770" s="64" t="str">
        <f>IF(OR(ISBLANK(Trades!R770), ISBLANK(Trades!H770), ISBLANK(Trades!I770)), "", IF(Trades!H770=Trades!I770, "N/A", (Trades!R770-Trades!H770)/(Trades!H770-Trades!I770)))</f>
        <v/>
      </c>
      <c r="V770" s="65" t="str">
        <f t="shared" si="91"/>
        <v/>
      </c>
      <c r="W770" s="66" t="str">
        <f t="shared" si="92"/>
        <v/>
      </c>
      <c r="X770" s="62" t="str">
        <f t="shared" si="93"/>
        <v/>
      </c>
      <c r="Y770" s="45"/>
      <c r="Z770" s="44"/>
      <c r="AA770" s="41"/>
      <c r="AB770" s="39"/>
      <c r="AC770" s="37" t="str">
        <f t="shared" si="94"/>
        <v/>
      </c>
    </row>
    <row r="771" spans="2:29" x14ac:dyDescent="0.25">
      <c r="B771" s="54">
        <v>765</v>
      </c>
      <c r="C771" s="168"/>
      <c r="D771" s="51"/>
      <c r="E771" s="29"/>
      <c r="F771" s="48"/>
      <c r="G771" s="29"/>
      <c r="H771" s="187"/>
      <c r="I771" s="187"/>
      <c r="J771" s="195"/>
      <c r="K771" s="86" t="str">
        <f t="shared" si="88"/>
        <v/>
      </c>
      <c r="L771" s="57" t="str">
        <f t="shared" si="95"/>
        <v/>
      </c>
      <c r="M771" s="186"/>
      <c r="N771" s="189"/>
      <c r="O771" s="190"/>
      <c r="P771" s="190" t="str">
        <f>IF(OR(ISBLANK(V771),COUNTBLANK(V771:$V$1048576)=ROWS(V771:$V$1048576)),"",$R$2*(1+SUM(V$7:V771)))</f>
        <v/>
      </c>
      <c r="Q771" s="191"/>
      <c r="R771" s="189"/>
      <c r="S771" s="53" t="str">
        <f t="shared" si="89"/>
        <v/>
      </c>
      <c r="T771" s="63" t="str">
        <f t="shared" si="90"/>
        <v/>
      </c>
      <c r="U771" s="64" t="str">
        <f>IF(OR(ISBLANK(Trades!R771), ISBLANK(Trades!H771), ISBLANK(Trades!I771)), "", IF(Trades!H771=Trades!I771, "N/A", (Trades!R771-Trades!H771)/(Trades!H771-Trades!I771)))</f>
        <v/>
      </c>
      <c r="V771" s="65" t="str">
        <f t="shared" si="91"/>
        <v/>
      </c>
      <c r="W771" s="66" t="str">
        <f t="shared" si="92"/>
        <v/>
      </c>
      <c r="X771" s="62" t="str">
        <f t="shared" si="93"/>
        <v/>
      </c>
      <c r="Y771" s="45"/>
      <c r="Z771" s="44"/>
      <c r="AA771" s="41"/>
      <c r="AB771" s="39"/>
      <c r="AC771" s="37" t="str">
        <f t="shared" si="94"/>
        <v/>
      </c>
    </row>
    <row r="772" spans="2:29" x14ac:dyDescent="0.25">
      <c r="B772" s="54">
        <v>766</v>
      </c>
      <c r="C772" s="168"/>
      <c r="D772" s="51"/>
      <c r="E772" s="29"/>
      <c r="F772" s="48"/>
      <c r="G772" s="29"/>
      <c r="H772" s="187"/>
      <c r="I772" s="187"/>
      <c r="J772" s="195"/>
      <c r="K772" s="86" t="str">
        <f t="shared" si="88"/>
        <v/>
      </c>
      <c r="L772" s="57" t="str">
        <f t="shared" si="95"/>
        <v/>
      </c>
      <c r="M772" s="186"/>
      <c r="N772" s="189"/>
      <c r="O772" s="190"/>
      <c r="P772" s="190" t="str">
        <f>IF(OR(ISBLANK(V772),COUNTBLANK(V772:$V$1048576)=ROWS(V772:$V$1048576)),"",$R$2*(1+SUM(V$7:V772)))</f>
        <v/>
      </c>
      <c r="Q772" s="191"/>
      <c r="R772" s="189"/>
      <c r="S772" s="53" t="str">
        <f t="shared" si="89"/>
        <v/>
      </c>
      <c r="T772" s="63" t="str">
        <f t="shared" si="90"/>
        <v/>
      </c>
      <c r="U772" s="64" t="str">
        <f>IF(OR(ISBLANK(Trades!R772), ISBLANK(Trades!H772), ISBLANK(Trades!I772)), "", IF(Trades!H772=Trades!I772, "N/A", (Trades!R772-Trades!H772)/(Trades!H772-Trades!I772)))</f>
        <v/>
      </c>
      <c r="V772" s="65" t="str">
        <f t="shared" si="91"/>
        <v/>
      </c>
      <c r="W772" s="66" t="str">
        <f t="shared" si="92"/>
        <v/>
      </c>
      <c r="X772" s="62" t="str">
        <f t="shared" si="93"/>
        <v/>
      </c>
      <c r="Y772" s="45"/>
      <c r="Z772" s="44"/>
      <c r="AA772" s="41"/>
      <c r="AB772" s="39"/>
      <c r="AC772" s="37" t="str">
        <f t="shared" si="94"/>
        <v/>
      </c>
    </row>
    <row r="773" spans="2:29" x14ac:dyDescent="0.25">
      <c r="B773" s="54">
        <v>767</v>
      </c>
      <c r="C773" s="168"/>
      <c r="D773" s="51"/>
      <c r="E773" s="29"/>
      <c r="F773" s="48"/>
      <c r="G773" s="29"/>
      <c r="H773" s="187"/>
      <c r="I773" s="187"/>
      <c r="J773" s="195"/>
      <c r="K773" s="86" t="str">
        <f t="shared" si="88"/>
        <v/>
      </c>
      <c r="L773" s="57" t="str">
        <f t="shared" si="95"/>
        <v/>
      </c>
      <c r="M773" s="186"/>
      <c r="N773" s="189"/>
      <c r="O773" s="190"/>
      <c r="P773" s="190" t="str">
        <f>IF(OR(ISBLANK(V773),COUNTBLANK(V773:$V$1048576)=ROWS(V773:$V$1048576)),"",$R$2*(1+SUM(V$7:V773)))</f>
        <v/>
      </c>
      <c r="Q773" s="191"/>
      <c r="R773" s="189"/>
      <c r="S773" s="53" t="str">
        <f t="shared" si="89"/>
        <v/>
      </c>
      <c r="T773" s="63" t="str">
        <f t="shared" si="90"/>
        <v/>
      </c>
      <c r="U773" s="64" t="str">
        <f>IF(OR(ISBLANK(Trades!R773), ISBLANK(Trades!H773), ISBLANK(Trades!I773)), "", IF(Trades!H773=Trades!I773, "N/A", (Trades!R773-Trades!H773)/(Trades!H773-Trades!I773)))</f>
        <v/>
      </c>
      <c r="V773" s="65" t="str">
        <f t="shared" si="91"/>
        <v/>
      </c>
      <c r="W773" s="66" t="str">
        <f t="shared" si="92"/>
        <v/>
      </c>
      <c r="X773" s="62" t="str">
        <f t="shared" si="93"/>
        <v/>
      </c>
      <c r="Y773" s="45"/>
      <c r="Z773" s="44"/>
      <c r="AA773" s="41"/>
      <c r="AB773" s="39"/>
      <c r="AC773" s="37" t="str">
        <f t="shared" si="94"/>
        <v/>
      </c>
    </row>
    <row r="774" spans="2:29" x14ac:dyDescent="0.25">
      <c r="B774" s="54">
        <v>768</v>
      </c>
      <c r="C774" s="168"/>
      <c r="D774" s="51"/>
      <c r="E774" s="29"/>
      <c r="F774" s="48"/>
      <c r="G774" s="29"/>
      <c r="H774" s="187"/>
      <c r="I774" s="187"/>
      <c r="J774" s="195"/>
      <c r="K774" s="86" t="str">
        <f t="shared" si="88"/>
        <v/>
      </c>
      <c r="L774" s="57" t="str">
        <f t="shared" si="95"/>
        <v/>
      </c>
      <c r="M774" s="186"/>
      <c r="N774" s="189"/>
      <c r="O774" s="190"/>
      <c r="P774" s="190" t="str">
        <f>IF(OR(ISBLANK(V774),COUNTBLANK(V774:$V$1048576)=ROWS(V774:$V$1048576)),"",$R$2*(1+SUM(V$7:V774)))</f>
        <v/>
      </c>
      <c r="Q774" s="191"/>
      <c r="R774" s="189"/>
      <c r="S774" s="53" t="str">
        <f t="shared" si="89"/>
        <v/>
      </c>
      <c r="T774" s="63" t="str">
        <f t="shared" si="90"/>
        <v/>
      </c>
      <c r="U774" s="64" t="str">
        <f>IF(OR(ISBLANK(Trades!R774), ISBLANK(Trades!H774), ISBLANK(Trades!I774)), "", IF(Trades!H774=Trades!I774, "N/A", (Trades!R774-Trades!H774)/(Trades!H774-Trades!I774)))</f>
        <v/>
      </c>
      <c r="V774" s="65" t="str">
        <f t="shared" si="91"/>
        <v/>
      </c>
      <c r="W774" s="66" t="str">
        <f t="shared" si="92"/>
        <v/>
      </c>
      <c r="X774" s="62" t="str">
        <f t="shared" si="93"/>
        <v/>
      </c>
      <c r="Y774" s="45"/>
      <c r="Z774" s="44"/>
      <c r="AA774" s="41"/>
      <c r="AB774" s="39"/>
      <c r="AC774" s="37" t="str">
        <f t="shared" si="94"/>
        <v/>
      </c>
    </row>
    <row r="775" spans="2:29" x14ac:dyDescent="0.25">
      <c r="B775" s="54">
        <v>769</v>
      </c>
      <c r="C775" s="168"/>
      <c r="D775" s="51"/>
      <c r="E775" s="29"/>
      <c r="F775" s="48"/>
      <c r="G775" s="29"/>
      <c r="H775" s="187"/>
      <c r="I775" s="187"/>
      <c r="J775" s="195"/>
      <c r="K775" s="86" t="str">
        <f t="shared" ref="K775:K838" si="96">IF(OR(ISBLANK(H775),ISBLANK(I775)),"",IF(H775 &lt; I775, "SHORT", IF(H775 &gt; I775, "LONG", "")))</f>
        <v/>
      </c>
      <c r="L775" s="57" t="str">
        <f t="shared" si="95"/>
        <v/>
      </c>
      <c r="M775" s="186"/>
      <c r="N775" s="189"/>
      <c r="O775" s="190"/>
      <c r="P775" s="190" t="str">
        <f>IF(OR(ISBLANK(V775),COUNTBLANK(V775:$V$1048576)=ROWS(V775:$V$1048576)),"",$R$2*(1+SUM(V$7:V775)))</f>
        <v/>
      </c>
      <c r="Q775" s="191"/>
      <c r="R775" s="189"/>
      <c r="S775" s="53" t="str">
        <f t="shared" ref="S775:S838" si="97">IF(COUNTIFS($C$7:$C$1000, "&lt;="&amp;C775, $X$7:$X$1000, "Win") = 0, "", IF(COUNTIFS($C$7:$C$1000, "&lt;="&amp;C775, $X$7:$X$1000, "&lt;&gt;"&amp;"") = 0, "", COUNTIFS($C$7:$C$1000, "&lt;="&amp;C775, $X$7:$X$1000, "Win")/COUNTIFS($C$7:$C$1000, "&lt;="&amp;C775, $X$7:$X$1000, "&lt;&gt;"&amp;"")))</f>
        <v/>
      </c>
      <c r="T775" s="63" t="str">
        <f t="shared" ref="T775:T838" si="98">IF(ISBLANK(R775),IF(ISBLANK(H775),"","Open"),"Closed")</f>
        <v/>
      </c>
      <c r="U775" s="64" t="str">
        <f>IF(OR(ISBLANK(Trades!R775), ISBLANK(Trades!H775), ISBLANK(Trades!I775)), "", IF(Trades!H775=Trades!I775, "N/A", (Trades!R775-Trades!H775)/(Trades!H775-Trades!I775)))</f>
        <v/>
      </c>
      <c r="V775" s="65" t="str">
        <f t="shared" ref="V775:V838" si="99">IF(U775="","",U775*F775)</f>
        <v/>
      </c>
      <c r="W775" s="66" t="str">
        <f t="shared" ref="W775:W838" si="100">IF(ISBLANK(R775),"",IF(H775&gt;I775,IF(I775&gt;=R775,"SL Hit",IF(O775&lt;&gt;"","PT3 Hit",IF(N775&lt;&gt;"","PT2 Hit",IF(M775&lt;&gt;"","PT1 Hit","")))),IF(I775&lt;=R775,"SL Hit",IF(O775&lt;&gt;"","PT3 Hit",IF(N775&lt;&gt;"","PT2 Hit",IF(M775&lt;&gt;"","PT1 Hit",""))))))</f>
        <v/>
      </c>
      <c r="X775" s="62" t="str">
        <f t="shared" ref="X775:X838" si="101">IF(ISBLANK(R775),"",IF(H775&gt;I775, IF(R775&gt;=H775, "Win", "Loss"), IF(R775&lt;=H775, "Win", "Loss")))</f>
        <v/>
      </c>
      <c r="Y775" s="45"/>
      <c r="Z775" s="44"/>
      <c r="AA775" s="41"/>
      <c r="AB775" s="39"/>
      <c r="AC775" s="37" t="str">
        <f t="shared" ref="AC775:AC838" si="102">IFERROR(COUNTIFS($C$7:$C$1000,"&gt;="&amp;DATE(YEAR(C775),MONTH(C775),1),$C$7:$C$1000,"&lt;="&amp;EOMONTH(C775,0),$X$7:$X$1000,"Win")/COUNTIFS($C$7:$C$1000,"&gt;="&amp;DATE(YEAR(C775),MONTH(C775),1),$C$7:$C$1000,"&lt;="&amp;EOMONTH(C775,0)),"")</f>
        <v/>
      </c>
    </row>
    <row r="776" spans="2:29" x14ac:dyDescent="0.25">
      <c r="B776" s="54">
        <v>770</v>
      </c>
      <c r="C776" s="168"/>
      <c r="D776" s="51"/>
      <c r="E776" s="29"/>
      <c r="F776" s="48"/>
      <c r="G776" s="29"/>
      <c r="H776" s="187"/>
      <c r="I776" s="187"/>
      <c r="J776" s="195"/>
      <c r="K776" s="86" t="str">
        <f t="shared" si="96"/>
        <v/>
      </c>
      <c r="L776" s="57" t="str">
        <f t="shared" si="95"/>
        <v/>
      </c>
      <c r="M776" s="186"/>
      <c r="N776" s="189"/>
      <c r="O776" s="190"/>
      <c r="P776" s="190" t="str">
        <f>IF(OR(ISBLANK(V776),COUNTBLANK(V776:$V$1048576)=ROWS(V776:$V$1048576)),"",$R$2*(1+SUM(V$7:V776)))</f>
        <v/>
      </c>
      <c r="Q776" s="191"/>
      <c r="R776" s="189"/>
      <c r="S776" s="53" t="str">
        <f t="shared" si="97"/>
        <v/>
      </c>
      <c r="T776" s="63" t="str">
        <f t="shared" si="98"/>
        <v/>
      </c>
      <c r="U776" s="64" t="str">
        <f>IF(OR(ISBLANK(Trades!R776), ISBLANK(Trades!H776), ISBLANK(Trades!I776)), "", IF(Trades!H776=Trades!I776, "N/A", (Trades!R776-Trades!H776)/(Trades!H776-Trades!I776)))</f>
        <v/>
      </c>
      <c r="V776" s="65" t="str">
        <f t="shared" si="99"/>
        <v/>
      </c>
      <c r="W776" s="66" t="str">
        <f t="shared" si="100"/>
        <v/>
      </c>
      <c r="X776" s="62" t="str">
        <f t="shared" si="101"/>
        <v/>
      </c>
      <c r="Y776" s="45"/>
      <c r="Z776" s="44"/>
      <c r="AA776" s="41"/>
      <c r="AB776" s="39"/>
      <c r="AC776" s="37" t="str">
        <f t="shared" si="102"/>
        <v/>
      </c>
    </row>
    <row r="777" spans="2:29" x14ac:dyDescent="0.25">
      <c r="B777" s="54">
        <v>771</v>
      </c>
      <c r="C777" s="168"/>
      <c r="D777" s="51"/>
      <c r="E777" s="29"/>
      <c r="F777" s="48"/>
      <c r="G777" s="29"/>
      <c r="H777" s="187"/>
      <c r="I777" s="187"/>
      <c r="J777" s="195"/>
      <c r="K777" s="86" t="str">
        <f t="shared" si="96"/>
        <v/>
      </c>
      <c r="L777" s="57" t="str">
        <f t="shared" si="95"/>
        <v/>
      </c>
      <c r="M777" s="186"/>
      <c r="N777" s="189"/>
      <c r="O777" s="190"/>
      <c r="P777" s="190" t="str">
        <f>IF(OR(ISBLANK(V777),COUNTBLANK(V777:$V$1048576)=ROWS(V777:$V$1048576)),"",$R$2*(1+SUM(V$7:V777)))</f>
        <v/>
      </c>
      <c r="Q777" s="191"/>
      <c r="R777" s="189"/>
      <c r="S777" s="53" t="str">
        <f t="shared" si="97"/>
        <v/>
      </c>
      <c r="T777" s="63" t="str">
        <f t="shared" si="98"/>
        <v/>
      </c>
      <c r="U777" s="64" t="str">
        <f>IF(OR(ISBLANK(Trades!R777), ISBLANK(Trades!H777), ISBLANK(Trades!I777)), "", IF(Trades!H777=Trades!I777, "N/A", (Trades!R777-Trades!H777)/(Trades!H777-Trades!I777)))</f>
        <v/>
      </c>
      <c r="V777" s="65" t="str">
        <f t="shared" si="99"/>
        <v/>
      </c>
      <c r="W777" s="66" t="str">
        <f t="shared" si="100"/>
        <v/>
      </c>
      <c r="X777" s="62" t="str">
        <f t="shared" si="101"/>
        <v/>
      </c>
      <c r="Y777" s="45"/>
      <c r="Z777" s="44"/>
      <c r="AA777" s="41"/>
      <c r="AB777" s="39"/>
      <c r="AC777" s="37" t="str">
        <f t="shared" si="102"/>
        <v/>
      </c>
    </row>
    <row r="778" spans="2:29" x14ac:dyDescent="0.25">
      <c r="B778" s="54">
        <v>772</v>
      </c>
      <c r="C778" s="168"/>
      <c r="D778" s="51"/>
      <c r="E778" s="29"/>
      <c r="F778" s="48"/>
      <c r="G778" s="29"/>
      <c r="H778" s="187"/>
      <c r="I778" s="187"/>
      <c r="J778" s="195"/>
      <c r="K778" s="86" t="str">
        <f t="shared" si="96"/>
        <v/>
      </c>
      <c r="L778" s="57" t="str">
        <f t="shared" si="95"/>
        <v/>
      </c>
      <c r="M778" s="186"/>
      <c r="N778" s="189"/>
      <c r="O778" s="190"/>
      <c r="P778" s="190" t="str">
        <f>IF(OR(ISBLANK(V778),COUNTBLANK(V778:$V$1048576)=ROWS(V778:$V$1048576)),"",$R$2*(1+SUM(V$7:V778)))</f>
        <v/>
      </c>
      <c r="Q778" s="191"/>
      <c r="R778" s="189"/>
      <c r="S778" s="53" t="str">
        <f t="shared" si="97"/>
        <v/>
      </c>
      <c r="T778" s="63" t="str">
        <f t="shared" si="98"/>
        <v/>
      </c>
      <c r="U778" s="64" t="str">
        <f>IF(OR(ISBLANK(Trades!R778), ISBLANK(Trades!H778), ISBLANK(Trades!I778)), "", IF(Trades!H778=Trades!I778, "N/A", (Trades!R778-Trades!H778)/(Trades!H778-Trades!I778)))</f>
        <v/>
      </c>
      <c r="V778" s="65" t="str">
        <f t="shared" si="99"/>
        <v/>
      </c>
      <c r="W778" s="66" t="str">
        <f t="shared" si="100"/>
        <v/>
      </c>
      <c r="X778" s="62" t="str">
        <f t="shared" si="101"/>
        <v/>
      </c>
      <c r="Y778" s="45"/>
      <c r="Z778" s="44"/>
      <c r="AA778" s="41"/>
      <c r="AB778" s="39"/>
      <c r="AC778" s="37" t="str">
        <f t="shared" si="102"/>
        <v/>
      </c>
    </row>
    <row r="779" spans="2:29" x14ac:dyDescent="0.25">
      <c r="B779" s="54">
        <v>773</v>
      </c>
      <c r="C779" s="168"/>
      <c r="D779" s="51"/>
      <c r="E779" s="29"/>
      <c r="F779" s="48"/>
      <c r="G779" s="29"/>
      <c r="H779" s="187"/>
      <c r="I779" s="187"/>
      <c r="J779" s="195"/>
      <c r="K779" s="86" t="str">
        <f t="shared" si="96"/>
        <v/>
      </c>
      <c r="L779" s="57" t="str">
        <f t="shared" si="95"/>
        <v/>
      </c>
      <c r="M779" s="186"/>
      <c r="N779" s="189"/>
      <c r="O779" s="190"/>
      <c r="P779" s="190" t="str">
        <f>IF(OR(ISBLANK(V779),COUNTBLANK(V779:$V$1048576)=ROWS(V779:$V$1048576)),"",$R$2*(1+SUM(V$7:V779)))</f>
        <v/>
      </c>
      <c r="Q779" s="191"/>
      <c r="R779" s="189"/>
      <c r="S779" s="53" t="str">
        <f t="shared" si="97"/>
        <v/>
      </c>
      <c r="T779" s="63" t="str">
        <f t="shared" si="98"/>
        <v/>
      </c>
      <c r="U779" s="64" t="str">
        <f>IF(OR(ISBLANK(Trades!R779), ISBLANK(Trades!H779), ISBLANK(Trades!I779)), "", IF(Trades!H779=Trades!I779, "N/A", (Trades!R779-Trades!H779)/(Trades!H779-Trades!I779)))</f>
        <v/>
      </c>
      <c r="V779" s="65" t="str">
        <f t="shared" si="99"/>
        <v/>
      </c>
      <c r="W779" s="66" t="str">
        <f t="shared" si="100"/>
        <v/>
      </c>
      <c r="X779" s="62" t="str">
        <f t="shared" si="101"/>
        <v/>
      </c>
      <c r="Y779" s="45"/>
      <c r="Z779" s="44"/>
      <c r="AA779" s="41"/>
      <c r="AB779" s="39"/>
      <c r="AC779" s="37" t="str">
        <f t="shared" si="102"/>
        <v/>
      </c>
    </row>
    <row r="780" spans="2:29" x14ac:dyDescent="0.25">
      <c r="B780" s="54">
        <v>774</v>
      </c>
      <c r="C780" s="168"/>
      <c r="D780" s="51"/>
      <c r="E780" s="29"/>
      <c r="F780" s="48"/>
      <c r="G780" s="29"/>
      <c r="H780" s="187"/>
      <c r="I780" s="187"/>
      <c r="J780" s="195"/>
      <c r="K780" s="86" t="str">
        <f t="shared" si="96"/>
        <v/>
      </c>
      <c r="L780" s="57" t="str">
        <f t="shared" ref="L780:L843" si="103">IF(OR(ISBLANK(J780),ISBLANK(H780),ISBLANK(I780)),"",ABS(J780-H780)/ABS(H780-I780))</f>
        <v/>
      </c>
      <c r="M780" s="186"/>
      <c r="N780" s="189"/>
      <c r="O780" s="190"/>
      <c r="P780" s="190" t="str">
        <f>IF(OR(ISBLANK(V780),COUNTBLANK(V780:$V$1048576)=ROWS(V780:$V$1048576)),"",$R$2*(1+SUM(V$7:V780)))</f>
        <v/>
      </c>
      <c r="Q780" s="191"/>
      <c r="R780" s="189"/>
      <c r="S780" s="53" t="str">
        <f t="shared" si="97"/>
        <v/>
      </c>
      <c r="T780" s="63" t="str">
        <f t="shared" si="98"/>
        <v/>
      </c>
      <c r="U780" s="64" t="str">
        <f>IF(OR(ISBLANK(Trades!R780), ISBLANK(Trades!H780), ISBLANK(Trades!I780)), "", IF(Trades!H780=Trades!I780, "N/A", (Trades!R780-Trades!H780)/(Trades!H780-Trades!I780)))</f>
        <v/>
      </c>
      <c r="V780" s="65" t="str">
        <f t="shared" si="99"/>
        <v/>
      </c>
      <c r="W780" s="66" t="str">
        <f t="shared" si="100"/>
        <v/>
      </c>
      <c r="X780" s="62" t="str">
        <f t="shared" si="101"/>
        <v/>
      </c>
      <c r="Y780" s="45"/>
      <c r="Z780" s="44"/>
      <c r="AA780" s="41"/>
      <c r="AB780" s="39"/>
      <c r="AC780" s="37" t="str">
        <f t="shared" si="102"/>
        <v/>
      </c>
    </row>
    <row r="781" spans="2:29" x14ac:dyDescent="0.25">
      <c r="B781" s="54">
        <v>775</v>
      </c>
      <c r="C781" s="168"/>
      <c r="D781" s="51"/>
      <c r="E781" s="29"/>
      <c r="F781" s="48"/>
      <c r="G781" s="29"/>
      <c r="H781" s="187"/>
      <c r="I781" s="187"/>
      <c r="J781" s="195"/>
      <c r="K781" s="86" t="str">
        <f t="shared" si="96"/>
        <v/>
      </c>
      <c r="L781" s="57" t="str">
        <f t="shared" si="103"/>
        <v/>
      </c>
      <c r="M781" s="186"/>
      <c r="N781" s="189"/>
      <c r="O781" s="190"/>
      <c r="P781" s="190" t="str">
        <f>IF(OR(ISBLANK(V781),COUNTBLANK(V781:$V$1048576)=ROWS(V781:$V$1048576)),"",$R$2*(1+SUM(V$7:V781)))</f>
        <v/>
      </c>
      <c r="Q781" s="191"/>
      <c r="R781" s="189"/>
      <c r="S781" s="53" t="str">
        <f t="shared" si="97"/>
        <v/>
      </c>
      <c r="T781" s="63" t="str">
        <f t="shared" si="98"/>
        <v/>
      </c>
      <c r="U781" s="64" t="str">
        <f>IF(OR(ISBLANK(Trades!R781), ISBLANK(Trades!H781), ISBLANK(Trades!I781)), "", IF(Trades!H781=Trades!I781, "N/A", (Trades!R781-Trades!H781)/(Trades!H781-Trades!I781)))</f>
        <v/>
      </c>
      <c r="V781" s="65" t="str">
        <f t="shared" si="99"/>
        <v/>
      </c>
      <c r="W781" s="66" t="str">
        <f t="shared" si="100"/>
        <v/>
      </c>
      <c r="X781" s="62" t="str">
        <f t="shared" si="101"/>
        <v/>
      </c>
      <c r="Y781" s="45"/>
      <c r="Z781" s="44"/>
      <c r="AA781" s="41"/>
      <c r="AB781" s="39"/>
      <c r="AC781" s="37" t="str">
        <f t="shared" si="102"/>
        <v/>
      </c>
    </row>
    <row r="782" spans="2:29" x14ac:dyDescent="0.25">
      <c r="B782" s="54">
        <v>776</v>
      </c>
      <c r="C782" s="168"/>
      <c r="D782" s="51"/>
      <c r="E782" s="29"/>
      <c r="F782" s="48"/>
      <c r="G782" s="29"/>
      <c r="H782" s="187"/>
      <c r="I782" s="187"/>
      <c r="J782" s="195"/>
      <c r="K782" s="86" t="str">
        <f t="shared" si="96"/>
        <v/>
      </c>
      <c r="L782" s="57" t="str">
        <f t="shared" si="103"/>
        <v/>
      </c>
      <c r="M782" s="186"/>
      <c r="N782" s="189"/>
      <c r="O782" s="190"/>
      <c r="P782" s="190" t="str">
        <f>IF(OR(ISBLANK(V782),COUNTBLANK(V782:$V$1048576)=ROWS(V782:$V$1048576)),"",$R$2*(1+SUM(V$7:V782)))</f>
        <v/>
      </c>
      <c r="Q782" s="191"/>
      <c r="R782" s="189"/>
      <c r="S782" s="53" t="str">
        <f t="shared" si="97"/>
        <v/>
      </c>
      <c r="T782" s="63" t="str">
        <f t="shared" si="98"/>
        <v/>
      </c>
      <c r="U782" s="64" t="str">
        <f>IF(OR(ISBLANK(Trades!R782), ISBLANK(Trades!H782), ISBLANK(Trades!I782)), "", IF(Trades!H782=Trades!I782, "N/A", (Trades!R782-Trades!H782)/(Trades!H782-Trades!I782)))</f>
        <v/>
      </c>
      <c r="V782" s="65" t="str">
        <f t="shared" si="99"/>
        <v/>
      </c>
      <c r="W782" s="66" t="str">
        <f t="shared" si="100"/>
        <v/>
      </c>
      <c r="X782" s="62" t="str">
        <f t="shared" si="101"/>
        <v/>
      </c>
      <c r="Y782" s="45"/>
      <c r="Z782" s="44"/>
      <c r="AA782" s="41"/>
      <c r="AB782" s="39"/>
      <c r="AC782" s="37" t="str">
        <f t="shared" si="102"/>
        <v/>
      </c>
    </row>
    <row r="783" spans="2:29" x14ac:dyDescent="0.25">
      <c r="B783" s="54">
        <v>777</v>
      </c>
      <c r="C783" s="168"/>
      <c r="D783" s="51"/>
      <c r="E783" s="29"/>
      <c r="F783" s="48"/>
      <c r="G783" s="29"/>
      <c r="H783" s="187"/>
      <c r="I783" s="187"/>
      <c r="J783" s="195"/>
      <c r="K783" s="86" t="str">
        <f t="shared" si="96"/>
        <v/>
      </c>
      <c r="L783" s="57" t="str">
        <f t="shared" si="103"/>
        <v/>
      </c>
      <c r="M783" s="186"/>
      <c r="N783" s="189"/>
      <c r="O783" s="190"/>
      <c r="P783" s="190" t="str">
        <f>IF(OR(ISBLANK(V783),COUNTBLANK(V783:$V$1048576)=ROWS(V783:$V$1048576)),"",$R$2*(1+SUM(V$7:V783)))</f>
        <v/>
      </c>
      <c r="Q783" s="191"/>
      <c r="R783" s="189"/>
      <c r="S783" s="53" t="str">
        <f t="shared" si="97"/>
        <v/>
      </c>
      <c r="T783" s="63" t="str">
        <f t="shared" si="98"/>
        <v/>
      </c>
      <c r="U783" s="64" t="str">
        <f>IF(OR(ISBLANK(Trades!R783), ISBLANK(Trades!H783), ISBLANK(Trades!I783)), "", IF(Trades!H783=Trades!I783, "N/A", (Trades!R783-Trades!H783)/(Trades!H783-Trades!I783)))</f>
        <v/>
      </c>
      <c r="V783" s="65" t="str">
        <f t="shared" si="99"/>
        <v/>
      </c>
      <c r="W783" s="66" t="str">
        <f t="shared" si="100"/>
        <v/>
      </c>
      <c r="X783" s="62" t="str">
        <f t="shared" si="101"/>
        <v/>
      </c>
      <c r="Y783" s="45"/>
      <c r="Z783" s="44"/>
      <c r="AA783" s="41"/>
      <c r="AB783" s="39"/>
      <c r="AC783" s="37" t="str">
        <f t="shared" si="102"/>
        <v/>
      </c>
    </row>
    <row r="784" spans="2:29" x14ac:dyDescent="0.25">
      <c r="B784" s="54">
        <v>778</v>
      </c>
      <c r="C784" s="168"/>
      <c r="D784" s="51"/>
      <c r="E784" s="29"/>
      <c r="F784" s="48"/>
      <c r="G784" s="29"/>
      <c r="H784" s="187"/>
      <c r="I784" s="187"/>
      <c r="J784" s="195"/>
      <c r="K784" s="86" t="str">
        <f t="shared" si="96"/>
        <v/>
      </c>
      <c r="L784" s="57" t="str">
        <f t="shared" si="103"/>
        <v/>
      </c>
      <c r="M784" s="186"/>
      <c r="N784" s="189"/>
      <c r="O784" s="190"/>
      <c r="P784" s="190" t="str">
        <f>IF(OR(ISBLANK(V784),COUNTBLANK(V784:$V$1048576)=ROWS(V784:$V$1048576)),"",$R$2*(1+SUM(V$7:V784)))</f>
        <v/>
      </c>
      <c r="Q784" s="191"/>
      <c r="R784" s="189"/>
      <c r="S784" s="53" t="str">
        <f t="shared" si="97"/>
        <v/>
      </c>
      <c r="T784" s="63" t="str">
        <f t="shared" si="98"/>
        <v/>
      </c>
      <c r="U784" s="64" t="str">
        <f>IF(OR(ISBLANK(Trades!R784), ISBLANK(Trades!H784), ISBLANK(Trades!I784)), "", IF(Trades!H784=Trades!I784, "N/A", (Trades!R784-Trades!H784)/(Trades!H784-Trades!I784)))</f>
        <v/>
      </c>
      <c r="V784" s="65" t="str">
        <f t="shared" si="99"/>
        <v/>
      </c>
      <c r="W784" s="66" t="str">
        <f t="shared" si="100"/>
        <v/>
      </c>
      <c r="X784" s="62" t="str">
        <f t="shared" si="101"/>
        <v/>
      </c>
      <c r="Y784" s="45"/>
      <c r="Z784" s="44"/>
      <c r="AA784" s="41"/>
      <c r="AB784" s="39"/>
      <c r="AC784" s="37" t="str">
        <f t="shared" si="102"/>
        <v/>
      </c>
    </row>
    <row r="785" spans="2:29" x14ac:dyDescent="0.25">
      <c r="B785" s="54">
        <v>779</v>
      </c>
      <c r="C785" s="168"/>
      <c r="D785" s="51"/>
      <c r="E785" s="29"/>
      <c r="F785" s="48"/>
      <c r="G785" s="29"/>
      <c r="H785" s="187"/>
      <c r="I785" s="187"/>
      <c r="J785" s="195"/>
      <c r="K785" s="86" t="str">
        <f t="shared" si="96"/>
        <v/>
      </c>
      <c r="L785" s="57" t="str">
        <f t="shared" si="103"/>
        <v/>
      </c>
      <c r="M785" s="186"/>
      <c r="N785" s="189"/>
      <c r="O785" s="190"/>
      <c r="P785" s="190" t="str">
        <f>IF(OR(ISBLANK(V785),COUNTBLANK(V785:$V$1048576)=ROWS(V785:$V$1048576)),"",$R$2*(1+SUM(V$7:V785)))</f>
        <v/>
      </c>
      <c r="Q785" s="191"/>
      <c r="R785" s="189"/>
      <c r="S785" s="53" t="str">
        <f t="shared" si="97"/>
        <v/>
      </c>
      <c r="T785" s="63" t="str">
        <f t="shared" si="98"/>
        <v/>
      </c>
      <c r="U785" s="64" t="str">
        <f>IF(OR(ISBLANK(Trades!R785), ISBLANK(Trades!H785), ISBLANK(Trades!I785)), "", IF(Trades!H785=Trades!I785, "N/A", (Trades!R785-Trades!H785)/(Trades!H785-Trades!I785)))</f>
        <v/>
      </c>
      <c r="V785" s="65" t="str">
        <f t="shared" si="99"/>
        <v/>
      </c>
      <c r="W785" s="66" t="str">
        <f t="shared" si="100"/>
        <v/>
      </c>
      <c r="X785" s="62" t="str">
        <f t="shared" si="101"/>
        <v/>
      </c>
      <c r="Y785" s="45"/>
      <c r="Z785" s="44"/>
      <c r="AA785" s="41"/>
      <c r="AB785" s="39"/>
      <c r="AC785" s="37" t="str">
        <f t="shared" si="102"/>
        <v/>
      </c>
    </row>
    <row r="786" spans="2:29" x14ac:dyDescent="0.25">
      <c r="B786" s="54">
        <v>780</v>
      </c>
      <c r="C786" s="168"/>
      <c r="D786" s="51"/>
      <c r="E786" s="29"/>
      <c r="F786" s="48"/>
      <c r="G786" s="29"/>
      <c r="H786" s="187"/>
      <c r="I786" s="187"/>
      <c r="J786" s="195"/>
      <c r="K786" s="86" t="str">
        <f t="shared" si="96"/>
        <v/>
      </c>
      <c r="L786" s="57" t="str">
        <f t="shared" si="103"/>
        <v/>
      </c>
      <c r="M786" s="186"/>
      <c r="N786" s="189"/>
      <c r="O786" s="190"/>
      <c r="P786" s="190" t="str">
        <f>IF(OR(ISBLANK(V786),COUNTBLANK(V786:$V$1048576)=ROWS(V786:$V$1048576)),"",$R$2*(1+SUM(V$7:V786)))</f>
        <v/>
      </c>
      <c r="Q786" s="191"/>
      <c r="R786" s="189"/>
      <c r="S786" s="53" t="str">
        <f t="shared" si="97"/>
        <v/>
      </c>
      <c r="T786" s="63" t="str">
        <f t="shared" si="98"/>
        <v/>
      </c>
      <c r="U786" s="64" t="str">
        <f>IF(OR(ISBLANK(Trades!R786), ISBLANK(Trades!H786), ISBLANK(Trades!I786)), "", IF(Trades!H786=Trades!I786, "N/A", (Trades!R786-Trades!H786)/(Trades!H786-Trades!I786)))</f>
        <v/>
      </c>
      <c r="V786" s="65" t="str">
        <f t="shared" si="99"/>
        <v/>
      </c>
      <c r="W786" s="66" t="str">
        <f t="shared" si="100"/>
        <v/>
      </c>
      <c r="X786" s="62" t="str">
        <f t="shared" si="101"/>
        <v/>
      </c>
      <c r="Y786" s="45"/>
      <c r="Z786" s="44"/>
      <c r="AA786" s="41"/>
      <c r="AB786" s="39"/>
      <c r="AC786" s="37" t="str">
        <f t="shared" si="102"/>
        <v/>
      </c>
    </row>
    <row r="787" spans="2:29" x14ac:dyDescent="0.25">
      <c r="B787" s="54">
        <v>781</v>
      </c>
      <c r="C787" s="168"/>
      <c r="D787" s="51"/>
      <c r="E787" s="29"/>
      <c r="F787" s="48"/>
      <c r="G787" s="29"/>
      <c r="H787" s="187"/>
      <c r="I787" s="187"/>
      <c r="J787" s="195"/>
      <c r="K787" s="86" t="str">
        <f t="shared" si="96"/>
        <v/>
      </c>
      <c r="L787" s="57" t="str">
        <f t="shared" si="103"/>
        <v/>
      </c>
      <c r="M787" s="186"/>
      <c r="N787" s="189"/>
      <c r="O787" s="190"/>
      <c r="P787" s="190" t="str">
        <f>IF(OR(ISBLANK(V787),COUNTBLANK(V787:$V$1048576)=ROWS(V787:$V$1048576)),"",$R$2*(1+SUM(V$7:V787)))</f>
        <v/>
      </c>
      <c r="Q787" s="191"/>
      <c r="R787" s="189"/>
      <c r="S787" s="53" t="str">
        <f t="shared" si="97"/>
        <v/>
      </c>
      <c r="T787" s="63" t="str">
        <f t="shared" si="98"/>
        <v/>
      </c>
      <c r="U787" s="64" t="str">
        <f>IF(OR(ISBLANK(Trades!R787), ISBLANK(Trades!H787), ISBLANK(Trades!I787)), "", IF(Trades!H787=Trades!I787, "N/A", (Trades!R787-Trades!H787)/(Trades!H787-Trades!I787)))</f>
        <v/>
      </c>
      <c r="V787" s="65" t="str">
        <f t="shared" si="99"/>
        <v/>
      </c>
      <c r="W787" s="66" t="str">
        <f t="shared" si="100"/>
        <v/>
      </c>
      <c r="X787" s="62" t="str">
        <f t="shared" si="101"/>
        <v/>
      </c>
      <c r="Y787" s="45"/>
      <c r="Z787" s="44"/>
      <c r="AA787" s="41"/>
      <c r="AB787" s="39"/>
      <c r="AC787" s="37" t="str">
        <f t="shared" si="102"/>
        <v/>
      </c>
    </row>
    <row r="788" spans="2:29" x14ac:dyDescent="0.25">
      <c r="B788" s="54">
        <v>782</v>
      </c>
      <c r="C788" s="168"/>
      <c r="D788" s="51"/>
      <c r="E788" s="29"/>
      <c r="F788" s="48"/>
      <c r="G788" s="29"/>
      <c r="H788" s="187"/>
      <c r="I788" s="187"/>
      <c r="J788" s="195"/>
      <c r="K788" s="86" t="str">
        <f t="shared" si="96"/>
        <v/>
      </c>
      <c r="L788" s="57" t="str">
        <f t="shared" si="103"/>
        <v/>
      </c>
      <c r="M788" s="186"/>
      <c r="N788" s="189"/>
      <c r="O788" s="190"/>
      <c r="P788" s="190" t="str">
        <f>IF(OR(ISBLANK(V788),COUNTBLANK(V788:$V$1048576)=ROWS(V788:$V$1048576)),"",$R$2*(1+SUM(V$7:V788)))</f>
        <v/>
      </c>
      <c r="Q788" s="191"/>
      <c r="R788" s="189"/>
      <c r="S788" s="53" t="str">
        <f t="shared" si="97"/>
        <v/>
      </c>
      <c r="T788" s="63" t="str">
        <f t="shared" si="98"/>
        <v/>
      </c>
      <c r="U788" s="64" t="str">
        <f>IF(OR(ISBLANK(Trades!R788), ISBLANK(Trades!H788), ISBLANK(Trades!I788)), "", IF(Trades!H788=Trades!I788, "N/A", (Trades!R788-Trades!H788)/(Trades!H788-Trades!I788)))</f>
        <v/>
      </c>
      <c r="V788" s="65" t="str">
        <f t="shared" si="99"/>
        <v/>
      </c>
      <c r="W788" s="66" t="str">
        <f t="shared" si="100"/>
        <v/>
      </c>
      <c r="X788" s="62" t="str">
        <f t="shared" si="101"/>
        <v/>
      </c>
      <c r="Y788" s="45"/>
      <c r="Z788" s="44"/>
      <c r="AA788" s="41"/>
      <c r="AB788" s="39"/>
      <c r="AC788" s="37" t="str">
        <f t="shared" si="102"/>
        <v/>
      </c>
    </row>
    <row r="789" spans="2:29" x14ac:dyDescent="0.25">
      <c r="B789" s="54">
        <v>783</v>
      </c>
      <c r="C789" s="168"/>
      <c r="D789" s="51"/>
      <c r="E789" s="29"/>
      <c r="F789" s="48"/>
      <c r="G789" s="29"/>
      <c r="H789" s="187"/>
      <c r="I789" s="187"/>
      <c r="J789" s="195"/>
      <c r="K789" s="86" t="str">
        <f t="shared" si="96"/>
        <v/>
      </c>
      <c r="L789" s="57" t="str">
        <f t="shared" si="103"/>
        <v/>
      </c>
      <c r="M789" s="186"/>
      <c r="N789" s="189"/>
      <c r="O789" s="190"/>
      <c r="P789" s="190" t="str">
        <f>IF(OR(ISBLANK(V789),COUNTBLANK(V789:$V$1048576)=ROWS(V789:$V$1048576)),"",$R$2*(1+SUM(V$7:V789)))</f>
        <v/>
      </c>
      <c r="Q789" s="191"/>
      <c r="R789" s="189"/>
      <c r="S789" s="53" t="str">
        <f t="shared" si="97"/>
        <v/>
      </c>
      <c r="T789" s="63" t="str">
        <f t="shared" si="98"/>
        <v/>
      </c>
      <c r="U789" s="64" t="str">
        <f>IF(OR(ISBLANK(Trades!R789), ISBLANK(Trades!H789), ISBLANK(Trades!I789)), "", IF(Trades!H789=Trades!I789, "N/A", (Trades!R789-Trades!H789)/(Trades!H789-Trades!I789)))</f>
        <v/>
      </c>
      <c r="V789" s="65" t="str">
        <f t="shared" si="99"/>
        <v/>
      </c>
      <c r="W789" s="66" t="str">
        <f t="shared" si="100"/>
        <v/>
      </c>
      <c r="X789" s="62" t="str">
        <f t="shared" si="101"/>
        <v/>
      </c>
      <c r="Y789" s="45"/>
      <c r="Z789" s="44"/>
      <c r="AA789" s="41"/>
      <c r="AB789" s="39"/>
      <c r="AC789" s="37" t="str">
        <f t="shared" si="102"/>
        <v/>
      </c>
    </row>
    <row r="790" spans="2:29" x14ac:dyDescent="0.25">
      <c r="B790" s="54">
        <v>784</v>
      </c>
      <c r="C790" s="168"/>
      <c r="D790" s="51"/>
      <c r="E790" s="29"/>
      <c r="F790" s="48"/>
      <c r="G790" s="29"/>
      <c r="H790" s="187"/>
      <c r="I790" s="187"/>
      <c r="J790" s="195"/>
      <c r="K790" s="86" t="str">
        <f t="shared" si="96"/>
        <v/>
      </c>
      <c r="L790" s="57" t="str">
        <f t="shared" si="103"/>
        <v/>
      </c>
      <c r="M790" s="186"/>
      <c r="N790" s="189"/>
      <c r="O790" s="190"/>
      <c r="P790" s="190" t="str">
        <f>IF(OR(ISBLANK(V790),COUNTBLANK(V790:$V$1048576)=ROWS(V790:$V$1048576)),"",$R$2*(1+SUM(V$7:V790)))</f>
        <v/>
      </c>
      <c r="Q790" s="191"/>
      <c r="R790" s="189"/>
      <c r="S790" s="53" t="str">
        <f t="shared" si="97"/>
        <v/>
      </c>
      <c r="T790" s="63" t="str">
        <f t="shared" si="98"/>
        <v/>
      </c>
      <c r="U790" s="64" t="str">
        <f>IF(OR(ISBLANK(Trades!R790), ISBLANK(Trades!H790), ISBLANK(Trades!I790)), "", IF(Trades!H790=Trades!I790, "N/A", (Trades!R790-Trades!H790)/(Trades!H790-Trades!I790)))</f>
        <v/>
      </c>
      <c r="V790" s="65" t="str">
        <f t="shared" si="99"/>
        <v/>
      </c>
      <c r="W790" s="66" t="str">
        <f t="shared" si="100"/>
        <v/>
      </c>
      <c r="X790" s="62" t="str">
        <f t="shared" si="101"/>
        <v/>
      </c>
      <c r="Y790" s="45"/>
      <c r="Z790" s="44"/>
      <c r="AA790" s="41"/>
      <c r="AB790" s="39"/>
      <c r="AC790" s="37" t="str">
        <f t="shared" si="102"/>
        <v/>
      </c>
    </row>
    <row r="791" spans="2:29" x14ac:dyDescent="0.25">
      <c r="B791" s="54">
        <v>785</v>
      </c>
      <c r="C791" s="168"/>
      <c r="D791" s="51"/>
      <c r="E791" s="29"/>
      <c r="F791" s="48"/>
      <c r="G791" s="29"/>
      <c r="H791" s="187"/>
      <c r="I791" s="187"/>
      <c r="J791" s="195"/>
      <c r="K791" s="86" t="str">
        <f t="shared" si="96"/>
        <v/>
      </c>
      <c r="L791" s="57" t="str">
        <f t="shared" si="103"/>
        <v/>
      </c>
      <c r="M791" s="186"/>
      <c r="N791" s="189"/>
      <c r="O791" s="190"/>
      <c r="P791" s="190" t="str">
        <f>IF(OR(ISBLANK(V791),COUNTBLANK(V791:$V$1048576)=ROWS(V791:$V$1048576)),"",$R$2*(1+SUM(V$7:V791)))</f>
        <v/>
      </c>
      <c r="Q791" s="191"/>
      <c r="R791" s="189"/>
      <c r="S791" s="53" t="str">
        <f t="shared" si="97"/>
        <v/>
      </c>
      <c r="T791" s="63" t="str">
        <f t="shared" si="98"/>
        <v/>
      </c>
      <c r="U791" s="64" t="str">
        <f>IF(OR(ISBLANK(Trades!R791), ISBLANK(Trades!H791), ISBLANK(Trades!I791)), "", IF(Trades!H791=Trades!I791, "N/A", (Trades!R791-Trades!H791)/(Trades!H791-Trades!I791)))</f>
        <v/>
      </c>
      <c r="V791" s="65" t="str">
        <f t="shared" si="99"/>
        <v/>
      </c>
      <c r="W791" s="66" t="str">
        <f t="shared" si="100"/>
        <v/>
      </c>
      <c r="X791" s="62" t="str">
        <f t="shared" si="101"/>
        <v/>
      </c>
      <c r="Y791" s="45"/>
      <c r="Z791" s="44"/>
      <c r="AA791" s="41"/>
      <c r="AB791" s="39"/>
      <c r="AC791" s="37" t="str">
        <f t="shared" si="102"/>
        <v/>
      </c>
    </row>
    <row r="792" spans="2:29" x14ac:dyDescent="0.25">
      <c r="B792" s="54">
        <v>786</v>
      </c>
      <c r="C792" s="168"/>
      <c r="D792" s="51"/>
      <c r="E792" s="29"/>
      <c r="F792" s="48"/>
      <c r="G792" s="29"/>
      <c r="H792" s="187"/>
      <c r="I792" s="187"/>
      <c r="J792" s="195"/>
      <c r="K792" s="86" t="str">
        <f t="shared" si="96"/>
        <v/>
      </c>
      <c r="L792" s="57" t="str">
        <f t="shared" si="103"/>
        <v/>
      </c>
      <c r="M792" s="186"/>
      <c r="N792" s="189"/>
      <c r="O792" s="190"/>
      <c r="P792" s="190" t="str">
        <f>IF(OR(ISBLANK(V792),COUNTBLANK(V792:$V$1048576)=ROWS(V792:$V$1048576)),"",$R$2*(1+SUM(V$7:V792)))</f>
        <v/>
      </c>
      <c r="Q792" s="191"/>
      <c r="R792" s="189"/>
      <c r="S792" s="53" t="str">
        <f t="shared" si="97"/>
        <v/>
      </c>
      <c r="T792" s="63" t="str">
        <f t="shared" si="98"/>
        <v/>
      </c>
      <c r="U792" s="64" t="str">
        <f>IF(OR(ISBLANK(Trades!R792), ISBLANK(Trades!H792), ISBLANK(Trades!I792)), "", IF(Trades!H792=Trades!I792, "N/A", (Trades!R792-Trades!H792)/(Trades!H792-Trades!I792)))</f>
        <v/>
      </c>
      <c r="V792" s="65" t="str">
        <f t="shared" si="99"/>
        <v/>
      </c>
      <c r="W792" s="66" t="str">
        <f t="shared" si="100"/>
        <v/>
      </c>
      <c r="X792" s="62" t="str">
        <f t="shared" si="101"/>
        <v/>
      </c>
      <c r="Y792" s="45"/>
      <c r="Z792" s="44"/>
      <c r="AA792" s="41"/>
      <c r="AB792" s="39"/>
      <c r="AC792" s="37" t="str">
        <f t="shared" si="102"/>
        <v/>
      </c>
    </row>
    <row r="793" spans="2:29" x14ac:dyDescent="0.25">
      <c r="B793" s="54">
        <v>787</v>
      </c>
      <c r="C793" s="168"/>
      <c r="D793" s="51"/>
      <c r="E793" s="29"/>
      <c r="F793" s="48"/>
      <c r="G793" s="29"/>
      <c r="H793" s="187"/>
      <c r="I793" s="187"/>
      <c r="J793" s="195"/>
      <c r="K793" s="86" t="str">
        <f t="shared" si="96"/>
        <v/>
      </c>
      <c r="L793" s="57" t="str">
        <f t="shared" si="103"/>
        <v/>
      </c>
      <c r="M793" s="186"/>
      <c r="N793" s="189"/>
      <c r="O793" s="190"/>
      <c r="P793" s="190" t="str">
        <f>IF(OR(ISBLANK(V793),COUNTBLANK(V793:$V$1048576)=ROWS(V793:$V$1048576)),"",$R$2*(1+SUM(V$7:V793)))</f>
        <v/>
      </c>
      <c r="Q793" s="191"/>
      <c r="R793" s="189"/>
      <c r="S793" s="53" t="str">
        <f t="shared" si="97"/>
        <v/>
      </c>
      <c r="T793" s="63" t="str">
        <f t="shared" si="98"/>
        <v/>
      </c>
      <c r="U793" s="64" t="str">
        <f>IF(OR(ISBLANK(Trades!R793), ISBLANK(Trades!H793), ISBLANK(Trades!I793)), "", IF(Trades!H793=Trades!I793, "N/A", (Trades!R793-Trades!H793)/(Trades!H793-Trades!I793)))</f>
        <v/>
      </c>
      <c r="V793" s="65" t="str">
        <f t="shared" si="99"/>
        <v/>
      </c>
      <c r="W793" s="66" t="str">
        <f t="shared" si="100"/>
        <v/>
      </c>
      <c r="X793" s="62" t="str">
        <f t="shared" si="101"/>
        <v/>
      </c>
      <c r="Y793" s="45"/>
      <c r="Z793" s="44"/>
      <c r="AA793" s="41"/>
      <c r="AB793" s="39"/>
      <c r="AC793" s="37" t="str">
        <f t="shared" si="102"/>
        <v/>
      </c>
    </row>
    <row r="794" spans="2:29" x14ac:dyDescent="0.25">
      <c r="B794" s="54">
        <v>788</v>
      </c>
      <c r="C794" s="168"/>
      <c r="D794" s="51"/>
      <c r="E794" s="29"/>
      <c r="F794" s="48"/>
      <c r="G794" s="29"/>
      <c r="H794" s="187"/>
      <c r="I794" s="187"/>
      <c r="J794" s="195"/>
      <c r="K794" s="86" t="str">
        <f t="shared" si="96"/>
        <v/>
      </c>
      <c r="L794" s="57" t="str">
        <f t="shared" si="103"/>
        <v/>
      </c>
      <c r="M794" s="186"/>
      <c r="N794" s="189"/>
      <c r="O794" s="190"/>
      <c r="P794" s="190" t="str">
        <f>IF(OR(ISBLANK(V794),COUNTBLANK(V794:$V$1048576)=ROWS(V794:$V$1048576)),"",$R$2*(1+SUM(V$7:V794)))</f>
        <v/>
      </c>
      <c r="Q794" s="191"/>
      <c r="R794" s="189"/>
      <c r="S794" s="53" t="str">
        <f t="shared" si="97"/>
        <v/>
      </c>
      <c r="T794" s="63" t="str">
        <f t="shared" si="98"/>
        <v/>
      </c>
      <c r="U794" s="64" t="str">
        <f>IF(OR(ISBLANK(Trades!R794), ISBLANK(Trades!H794), ISBLANK(Trades!I794)), "", IF(Trades!H794=Trades!I794, "N/A", (Trades!R794-Trades!H794)/(Trades!H794-Trades!I794)))</f>
        <v/>
      </c>
      <c r="V794" s="65" t="str">
        <f t="shared" si="99"/>
        <v/>
      </c>
      <c r="W794" s="66" t="str">
        <f t="shared" si="100"/>
        <v/>
      </c>
      <c r="X794" s="62" t="str">
        <f t="shared" si="101"/>
        <v/>
      </c>
      <c r="Y794" s="45"/>
      <c r="Z794" s="44"/>
      <c r="AA794" s="41"/>
      <c r="AB794" s="39"/>
      <c r="AC794" s="37" t="str">
        <f t="shared" si="102"/>
        <v/>
      </c>
    </row>
    <row r="795" spans="2:29" x14ac:dyDescent="0.25">
      <c r="B795" s="54">
        <v>789</v>
      </c>
      <c r="C795" s="168"/>
      <c r="D795" s="51"/>
      <c r="E795" s="29"/>
      <c r="F795" s="48"/>
      <c r="G795" s="29"/>
      <c r="H795" s="187"/>
      <c r="I795" s="187"/>
      <c r="J795" s="195"/>
      <c r="K795" s="86" t="str">
        <f t="shared" si="96"/>
        <v/>
      </c>
      <c r="L795" s="57" t="str">
        <f t="shared" si="103"/>
        <v/>
      </c>
      <c r="M795" s="186"/>
      <c r="N795" s="189"/>
      <c r="O795" s="190"/>
      <c r="P795" s="190" t="str">
        <f>IF(OR(ISBLANK(V795),COUNTBLANK(V795:$V$1048576)=ROWS(V795:$V$1048576)),"",$R$2*(1+SUM(V$7:V795)))</f>
        <v/>
      </c>
      <c r="Q795" s="191"/>
      <c r="R795" s="189"/>
      <c r="S795" s="53" t="str">
        <f t="shared" si="97"/>
        <v/>
      </c>
      <c r="T795" s="63" t="str">
        <f t="shared" si="98"/>
        <v/>
      </c>
      <c r="U795" s="64" t="str">
        <f>IF(OR(ISBLANK(Trades!R795), ISBLANK(Trades!H795), ISBLANK(Trades!I795)), "", IF(Trades!H795=Trades!I795, "N/A", (Trades!R795-Trades!H795)/(Trades!H795-Trades!I795)))</f>
        <v/>
      </c>
      <c r="V795" s="65" t="str">
        <f t="shared" si="99"/>
        <v/>
      </c>
      <c r="W795" s="66" t="str">
        <f t="shared" si="100"/>
        <v/>
      </c>
      <c r="X795" s="62" t="str">
        <f t="shared" si="101"/>
        <v/>
      </c>
      <c r="Y795" s="45"/>
      <c r="Z795" s="44"/>
      <c r="AA795" s="41"/>
      <c r="AB795" s="39"/>
      <c r="AC795" s="37" t="str">
        <f t="shared" si="102"/>
        <v/>
      </c>
    </row>
    <row r="796" spans="2:29" x14ac:dyDescent="0.25">
      <c r="B796" s="54">
        <v>790</v>
      </c>
      <c r="C796" s="168"/>
      <c r="D796" s="51"/>
      <c r="E796" s="29"/>
      <c r="F796" s="48"/>
      <c r="G796" s="29"/>
      <c r="H796" s="187"/>
      <c r="I796" s="187"/>
      <c r="J796" s="195"/>
      <c r="K796" s="86" t="str">
        <f t="shared" si="96"/>
        <v/>
      </c>
      <c r="L796" s="57" t="str">
        <f t="shared" si="103"/>
        <v/>
      </c>
      <c r="M796" s="186"/>
      <c r="N796" s="189"/>
      <c r="O796" s="190"/>
      <c r="P796" s="190" t="str">
        <f>IF(OR(ISBLANK(V796),COUNTBLANK(V796:$V$1048576)=ROWS(V796:$V$1048576)),"",$R$2*(1+SUM(V$7:V796)))</f>
        <v/>
      </c>
      <c r="Q796" s="191"/>
      <c r="R796" s="189"/>
      <c r="S796" s="53" t="str">
        <f t="shared" si="97"/>
        <v/>
      </c>
      <c r="T796" s="63" t="str">
        <f t="shared" si="98"/>
        <v/>
      </c>
      <c r="U796" s="64" t="str">
        <f>IF(OR(ISBLANK(Trades!R796), ISBLANK(Trades!H796), ISBLANK(Trades!I796)), "", IF(Trades!H796=Trades!I796, "N/A", (Trades!R796-Trades!H796)/(Trades!H796-Trades!I796)))</f>
        <v/>
      </c>
      <c r="V796" s="65" t="str">
        <f t="shared" si="99"/>
        <v/>
      </c>
      <c r="W796" s="66" t="str">
        <f t="shared" si="100"/>
        <v/>
      </c>
      <c r="X796" s="62" t="str">
        <f t="shared" si="101"/>
        <v/>
      </c>
      <c r="Y796" s="45"/>
      <c r="Z796" s="44"/>
      <c r="AA796" s="41"/>
      <c r="AB796" s="39"/>
      <c r="AC796" s="37" t="str">
        <f t="shared" si="102"/>
        <v/>
      </c>
    </row>
    <row r="797" spans="2:29" x14ac:dyDescent="0.25">
      <c r="B797" s="54">
        <v>791</v>
      </c>
      <c r="C797" s="168"/>
      <c r="D797" s="51"/>
      <c r="E797" s="29"/>
      <c r="F797" s="48"/>
      <c r="G797" s="29"/>
      <c r="H797" s="187"/>
      <c r="I797" s="187"/>
      <c r="J797" s="195"/>
      <c r="K797" s="86" t="str">
        <f t="shared" si="96"/>
        <v/>
      </c>
      <c r="L797" s="57" t="str">
        <f t="shared" si="103"/>
        <v/>
      </c>
      <c r="M797" s="186"/>
      <c r="N797" s="189"/>
      <c r="O797" s="190"/>
      <c r="P797" s="190" t="str">
        <f>IF(OR(ISBLANK(V797),COUNTBLANK(V797:$V$1048576)=ROWS(V797:$V$1048576)),"",$R$2*(1+SUM(V$7:V797)))</f>
        <v/>
      </c>
      <c r="Q797" s="191"/>
      <c r="R797" s="189"/>
      <c r="S797" s="53" t="str">
        <f t="shared" si="97"/>
        <v/>
      </c>
      <c r="T797" s="63" t="str">
        <f t="shared" si="98"/>
        <v/>
      </c>
      <c r="U797" s="64" t="str">
        <f>IF(OR(ISBLANK(Trades!R797), ISBLANK(Trades!H797), ISBLANK(Trades!I797)), "", IF(Trades!H797=Trades!I797, "N/A", (Trades!R797-Trades!H797)/(Trades!H797-Trades!I797)))</f>
        <v/>
      </c>
      <c r="V797" s="65" t="str">
        <f t="shared" si="99"/>
        <v/>
      </c>
      <c r="W797" s="66" t="str">
        <f t="shared" si="100"/>
        <v/>
      </c>
      <c r="X797" s="62" t="str">
        <f t="shared" si="101"/>
        <v/>
      </c>
      <c r="Y797" s="45"/>
      <c r="Z797" s="44"/>
      <c r="AA797" s="41"/>
      <c r="AB797" s="39"/>
      <c r="AC797" s="37" t="str">
        <f t="shared" si="102"/>
        <v/>
      </c>
    </row>
    <row r="798" spans="2:29" x14ac:dyDescent="0.25">
      <c r="B798" s="54">
        <v>792</v>
      </c>
      <c r="C798" s="168"/>
      <c r="D798" s="51"/>
      <c r="E798" s="29"/>
      <c r="F798" s="48"/>
      <c r="G798" s="29"/>
      <c r="H798" s="187"/>
      <c r="I798" s="187"/>
      <c r="J798" s="195"/>
      <c r="K798" s="86" t="str">
        <f t="shared" si="96"/>
        <v/>
      </c>
      <c r="L798" s="57" t="str">
        <f t="shared" si="103"/>
        <v/>
      </c>
      <c r="M798" s="186"/>
      <c r="N798" s="189"/>
      <c r="O798" s="190"/>
      <c r="P798" s="190" t="str">
        <f>IF(OR(ISBLANK(V798),COUNTBLANK(V798:$V$1048576)=ROWS(V798:$V$1048576)),"",$R$2*(1+SUM(V$7:V798)))</f>
        <v/>
      </c>
      <c r="Q798" s="191"/>
      <c r="R798" s="189"/>
      <c r="S798" s="53" t="str">
        <f t="shared" si="97"/>
        <v/>
      </c>
      <c r="T798" s="63" t="str">
        <f t="shared" si="98"/>
        <v/>
      </c>
      <c r="U798" s="64" t="str">
        <f>IF(OR(ISBLANK(Trades!R798), ISBLANK(Trades!H798), ISBLANK(Trades!I798)), "", IF(Trades!H798=Trades!I798, "N/A", (Trades!R798-Trades!H798)/(Trades!H798-Trades!I798)))</f>
        <v/>
      </c>
      <c r="V798" s="65" t="str">
        <f t="shared" si="99"/>
        <v/>
      </c>
      <c r="W798" s="66" t="str">
        <f t="shared" si="100"/>
        <v/>
      </c>
      <c r="X798" s="62" t="str">
        <f t="shared" si="101"/>
        <v/>
      </c>
      <c r="Y798" s="45"/>
      <c r="Z798" s="44"/>
      <c r="AA798" s="41"/>
      <c r="AB798" s="39"/>
      <c r="AC798" s="37" t="str">
        <f t="shared" si="102"/>
        <v/>
      </c>
    </row>
    <row r="799" spans="2:29" x14ac:dyDescent="0.25">
      <c r="B799" s="54">
        <v>793</v>
      </c>
      <c r="C799" s="168"/>
      <c r="D799" s="51"/>
      <c r="E799" s="29"/>
      <c r="F799" s="48"/>
      <c r="G799" s="29"/>
      <c r="H799" s="187"/>
      <c r="I799" s="187"/>
      <c r="J799" s="195"/>
      <c r="K799" s="86" t="str">
        <f t="shared" si="96"/>
        <v/>
      </c>
      <c r="L799" s="57" t="str">
        <f t="shared" si="103"/>
        <v/>
      </c>
      <c r="M799" s="186"/>
      <c r="N799" s="189"/>
      <c r="O799" s="190"/>
      <c r="P799" s="190" t="str">
        <f>IF(OR(ISBLANK(V799),COUNTBLANK(V799:$V$1048576)=ROWS(V799:$V$1048576)),"",$R$2*(1+SUM(V$7:V799)))</f>
        <v/>
      </c>
      <c r="Q799" s="191"/>
      <c r="R799" s="189"/>
      <c r="S799" s="53" t="str">
        <f t="shared" si="97"/>
        <v/>
      </c>
      <c r="T799" s="63" t="str">
        <f t="shared" si="98"/>
        <v/>
      </c>
      <c r="U799" s="64" t="str">
        <f>IF(OR(ISBLANK(Trades!R799), ISBLANK(Trades!H799), ISBLANK(Trades!I799)), "", IF(Trades!H799=Trades!I799, "N/A", (Trades!R799-Trades!H799)/(Trades!H799-Trades!I799)))</f>
        <v/>
      </c>
      <c r="V799" s="65" t="str">
        <f t="shared" si="99"/>
        <v/>
      </c>
      <c r="W799" s="66" t="str">
        <f t="shared" si="100"/>
        <v/>
      </c>
      <c r="X799" s="62" t="str">
        <f t="shared" si="101"/>
        <v/>
      </c>
      <c r="Y799" s="45"/>
      <c r="Z799" s="44"/>
      <c r="AA799" s="41"/>
      <c r="AB799" s="39"/>
      <c r="AC799" s="37" t="str">
        <f t="shared" si="102"/>
        <v/>
      </c>
    </row>
    <row r="800" spans="2:29" x14ac:dyDescent="0.25">
      <c r="B800" s="54">
        <v>794</v>
      </c>
      <c r="C800" s="168"/>
      <c r="D800" s="51"/>
      <c r="E800" s="29"/>
      <c r="F800" s="48"/>
      <c r="G800" s="29"/>
      <c r="H800" s="187"/>
      <c r="I800" s="187"/>
      <c r="J800" s="195"/>
      <c r="K800" s="86" t="str">
        <f t="shared" si="96"/>
        <v/>
      </c>
      <c r="L800" s="57" t="str">
        <f t="shared" si="103"/>
        <v/>
      </c>
      <c r="M800" s="186"/>
      <c r="N800" s="189"/>
      <c r="O800" s="190"/>
      <c r="P800" s="190" t="str">
        <f>IF(OR(ISBLANK(V800),COUNTBLANK(V800:$V$1048576)=ROWS(V800:$V$1048576)),"",$R$2*(1+SUM(V$7:V800)))</f>
        <v/>
      </c>
      <c r="Q800" s="191"/>
      <c r="R800" s="189"/>
      <c r="S800" s="53" t="str">
        <f t="shared" si="97"/>
        <v/>
      </c>
      <c r="T800" s="63" t="str">
        <f t="shared" si="98"/>
        <v/>
      </c>
      <c r="U800" s="64" t="str">
        <f>IF(OR(ISBLANK(Trades!R800), ISBLANK(Trades!H800), ISBLANK(Trades!I800)), "", IF(Trades!H800=Trades!I800, "N/A", (Trades!R800-Trades!H800)/(Trades!H800-Trades!I800)))</f>
        <v/>
      </c>
      <c r="V800" s="65" t="str">
        <f t="shared" si="99"/>
        <v/>
      </c>
      <c r="W800" s="66" t="str">
        <f t="shared" si="100"/>
        <v/>
      </c>
      <c r="X800" s="62" t="str">
        <f t="shared" si="101"/>
        <v/>
      </c>
      <c r="Y800" s="45"/>
      <c r="Z800" s="44"/>
      <c r="AA800" s="41"/>
      <c r="AB800" s="39"/>
      <c r="AC800" s="37" t="str">
        <f t="shared" si="102"/>
        <v/>
      </c>
    </row>
    <row r="801" spans="2:29" x14ac:dyDescent="0.25">
      <c r="B801" s="54">
        <v>795</v>
      </c>
      <c r="C801" s="168"/>
      <c r="D801" s="51"/>
      <c r="E801" s="29"/>
      <c r="F801" s="48"/>
      <c r="G801" s="29"/>
      <c r="H801" s="187"/>
      <c r="I801" s="187"/>
      <c r="J801" s="195"/>
      <c r="K801" s="86" t="str">
        <f t="shared" si="96"/>
        <v/>
      </c>
      <c r="L801" s="57" t="str">
        <f t="shared" si="103"/>
        <v/>
      </c>
      <c r="M801" s="186"/>
      <c r="N801" s="189"/>
      <c r="O801" s="190"/>
      <c r="P801" s="190" t="str">
        <f>IF(OR(ISBLANK(V801),COUNTBLANK(V801:$V$1048576)=ROWS(V801:$V$1048576)),"",$R$2*(1+SUM(V$7:V801)))</f>
        <v/>
      </c>
      <c r="Q801" s="191"/>
      <c r="R801" s="189"/>
      <c r="S801" s="53" t="str">
        <f t="shared" si="97"/>
        <v/>
      </c>
      <c r="T801" s="63" t="str">
        <f t="shared" si="98"/>
        <v/>
      </c>
      <c r="U801" s="64" t="str">
        <f>IF(OR(ISBLANK(Trades!R801), ISBLANK(Trades!H801), ISBLANK(Trades!I801)), "", IF(Trades!H801=Trades!I801, "N/A", (Trades!R801-Trades!H801)/(Trades!H801-Trades!I801)))</f>
        <v/>
      </c>
      <c r="V801" s="65" t="str">
        <f t="shared" si="99"/>
        <v/>
      </c>
      <c r="W801" s="66" t="str">
        <f t="shared" si="100"/>
        <v/>
      </c>
      <c r="X801" s="62" t="str">
        <f t="shared" si="101"/>
        <v/>
      </c>
      <c r="Y801" s="45"/>
      <c r="Z801" s="44"/>
      <c r="AA801" s="41"/>
      <c r="AB801" s="39"/>
      <c r="AC801" s="37" t="str">
        <f t="shared" si="102"/>
        <v/>
      </c>
    </row>
    <row r="802" spans="2:29" x14ac:dyDescent="0.25">
      <c r="B802" s="54">
        <v>796</v>
      </c>
      <c r="C802" s="168"/>
      <c r="D802" s="51"/>
      <c r="E802" s="29"/>
      <c r="F802" s="48"/>
      <c r="G802" s="29"/>
      <c r="H802" s="187"/>
      <c r="I802" s="187"/>
      <c r="J802" s="195"/>
      <c r="K802" s="86" t="str">
        <f t="shared" si="96"/>
        <v/>
      </c>
      <c r="L802" s="57" t="str">
        <f t="shared" si="103"/>
        <v/>
      </c>
      <c r="M802" s="186"/>
      <c r="N802" s="189"/>
      <c r="O802" s="190"/>
      <c r="P802" s="190" t="str">
        <f>IF(OR(ISBLANK(V802),COUNTBLANK(V802:$V$1048576)=ROWS(V802:$V$1048576)),"",$R$2*(1+SUM(V$7:V802)))</f>
        <v/>
      </c>
      <c r="Q802" s="191"/>
      <c r="R802" s="189"/>
      <c r="S802" s="53" t="str">
        <f t="shared" si="97"/>
        <v/>
      </c>
      <c r="T802" s="63" t="str">
        <f t="shared" si="98"/>
        <v/>
      </c>
      <c r="U802" s="64" t="str">
        <f>IF(OR(ISBLANK(Trades!R802), ISBLANK(Trades!H802), ISBLANK(Trades!I802)), "", IF(Trades!H802=Trades!I802, "N/A", (Trades!R802-Trades!H802)/(Trades!H802-Trades!I802)))</f>
        <v/>
      </c>
      <c r="V802" s="65" t="str">
        <f t="shared" si="99"/>
        <v/>
      </c>
      <c r="W802" s="66" t="str">
        <f t="shared" si="100"/>
        <v/>
      </c>
      <c r="X802" s="62" t="str">
        <f t="shared" si="101"/>
        <v/>
      </c>
      <c r="Y802" s="45"/>
      <c r="Z802" s="44"/>
      <c r="AA802" s="41"/>
      <c r="AB802" s="39"/>
      <c r="AC802" s="37" t="str">
        <f t="shared" si="102"/>
        <v/>
      </c>
    </row>
    <row r="803" spans="2:29" x14ac:dyDescent="0.25">
      <c r="B803" s="54">
        <v>797</v>
      </c>
      <c r="C803" s="168"/>
      <c r="D803" s="51"/>
      <c r="E803" s="29"/>
      <c r="F803" s="48"/>
      <c r="G803" s="29"/>
      <c r="H803" s="187"/>
      <c r="I803" s="187"/>
      <c r="J803" s="195"/>
      <c r="K803" s="86" t="str">
        <f t="shared" si="96"/>
        <v/>
      </c>
      <c r="L803" s="57" t="str">
        <f t="shared" si="103"/>
        <v/>
      </c>
      <c r="M803" s="186"/>
      <c r="N803" s="189"/>
      <c r="O803" s="190"/>
      <c r="P803" s="190" t="str">
        <f>IF(OR(ISBLANK(V803),COUNTBLANK(V803:$V$1048576)=ROWS(V803:$V$1048576)),"",$R$2*(1+SUM(V$7:V803)))</f>
        <v/>
      </c>
      <c r="Q803" s="191"/>
      <c r="R803" s="189"/>
      <c r="S803" s="53" t="str">
        <f t="shared" si="97"/>
        <v/>
      </c>
      <c r="T803" s="63" t="str">
        <f t="shared" si="98"/>
        <v/>
      </c>
      <c r="U803" s="64" t="str">
        <f>IF(OR(ISBLANK(Trades!R803), ISBLANK(Trades!H803), ISBLANK(Trades!I803)), "", IF(Trades!H803=Trades!I803, "N/A", (Trades!R803-Trades!H803)/(Trades!H803-Trades!I803)))</f>
        <v/>
      </c>
      <c r="V803" s="65" t="str">
        <f t="shared" si="99"/>
        <v/>
      </c>
      <c r="W803" s="66" t="str">
        <f t="shared" si="100"/>
        <v/>
      </c>
      <c r="X803" s="62" t="str">
        <f t="shared" si="101"/>
        <v/>
      </c>
      <c r="Y803" s="45"/>
      <c r="Z803" s="44"/>
      <c r="AA803" s="41"/>
      <c r="AB803" s="39"/>
      <c r="AC803" s="37" t="str">
        <f t="shared" si="102"/>
        <v/>
      </c>
    </row>
    <row r="804" spans="2:29" x14ac:dyDescent="0.25">
      <c r="B804" s="54">
        <v>798</v>
      </c>
      <c r="C804" s="168"/>
      <c r="D804" s="51"/>
      <c r="E804" s="29"/>
      <c r="F804" s="48"/>
      <c r="G804" s="29"/>
      <c r="H804" s="187"/>
      <c r="I804" s="187"/>
      <c r="J804" s="195"/>
      <c r="K804" s="86" t="str">
        <f t="shared" si="96"/>
        <v/>
      </c>
      <c r="L804" s="57" t="str">
        <f t="shared" si="103"/>
        <v/>
      </c>
      <c r="M804" s="186"/>
      <c r="N804" s="189"/>
      <c r="O804" s="190"/>
      <c r="P804" s="190" t="str">
        <f>IF(OR(ISBLANK(V804),COUNTBLANK(V804:$V$1048576)=ROWS(V804:$V$1048576)),"",$R$2*(1+SUM(V$7:V804)))</f>
        <v/>
      </c>
      <c r="Q804" s="191"/>
      <c r="R804" s="189"/>
      <c r="S804" s="53" t="str">
        <f t="shared" si="97"/>
        <v/>
      </c>
      <c r="T804" s="63" t="str">
        <f t="shared" si="98"/>
        <v/>
      </c>
      <c r="U804" s="64" t="str">
        <f>IF(OR(ISBLANK(Trades!R804), ISBLANK(Trades!H804), ISBLANK(Trades!I804)), "", IF(Trades!H804=Trades!I804, "N/A", (Trades!R804-Trades!H804)/(Trades!H804-Trades!I804)))</f>
        <v/>
      </c>
      <c r="V804" s="65" t="str">
        <f t="shared" si="99"/>
        <v/>
      </c>
      <c r="W804" s="66" t="str">
        <f t="shared" si="100"/>
        <v/>
      </c>
      <c r="X804" s="62" t="str">
        <f t="shared" si="101"/>
        <v/>
      </c>
      <c r="Y804" s="45"/>
      <c r="Z804" s="44"/>
      <c r="AA804" s="41"/>
      <c r="AB804" s="39"/>
      <c r="AC804" s="37" t="str">
        <f t="shared" si="102"/>
        <v/>
      </c>
    </row>
    <row r="805" spans="2:29" x14ac:dyDescent="0.25">
      <c r="B805" s="54">
        <v>799</v>
      </c>
      <c r="C805" s="168"/>
      <c r="D805" s="51"/>
      <c r="E805" s="29"/>
      <c r="F805" s="48"/>
      <c r="G805" s="29"/>
      <c r="H805" s="187"/>
      <c r="I805" s="187"/>
      <c r="J805" s="195"/>
      <c r="K805" s="86" t="str">
        <f t="shared" si="96"/>
        <v/>
      </c>
      <c r="L805" s="57" t="str">
        <f t="shared" si="103"/>
        <v/>
      </c>
      <c r="M805" s="186"/>
      <c r="N805" s="189"/>
      <c r="O805" s="190"/>
      <c r="P805" s="190" t="str">
        <f>IF(OR(ISBLANK(V805),COUNTBLANK(V805:$V$1048576)=ROWS(V805:$V$1048576)),"",$R$2*(1+SUM(V$7:V805)))</f>
        <v/>
      </c>
      <c r="Q805" s="191"/>
      <c r="R805" s="189"/>
      <c r="S805" s="53" t="str">
        <f t="shared" si="97"/>
        <v/>
      </c>
      <c r="T805" s="63" t="str">
        <f t="shared" si="98"/>
        <v/>
      </c>
      <c r="U805" s="64" t="str">
        <f>IF(OR(ISBLANK(Trades!R805), ISBLANK(Trades!H805), ISBLANK(Trades!I805)), "", IF(Trades!H805=Trades!I805, "N/A", (Trades!R805-Trades!H805)/(Trades!H805-Trades!I805)))</f>
        <v/>
      </c>
      <c r="V805" s="65" t="str">
        <f t="shared" si="99"/>
        <v/>
      </c>
      <c r="W805" s="66" t="str">
        <f t="shared" si="100"/>
        <v/>
      </c>
      <c r="X805" s="62" t="str">
        <f t="shared" si="101"/>
        <v/>
      </c>
      <c r="Y805" s="45"/>
      <c r="Z805" s="44"/>
      <c r="AA805" s="41"/>
      <c r="AB805" s="39"/>
      <c r="AC805" s="37" t="str">
        <f t="shared" si="102"/>
        <v/>
      </c>
    </row>
    <row r="806" spans="2:29" x14ac:dyDescent="0.25">
      <c r="B806" s="54">
        <v>800</v>
      </c>
      <c r="C806" s="168"/>
      <c r="D806" s="51"/>
      <c r="E806" s="29"/>
      <c r="F806" s="48"/>
      <c r="G806" s="29"/>
      <c r="H806" s="187"/>
      <c r="I806" s="187"/>
      <c r="J806" s="195"/>
      <c r="K806" s="86" t="str">
        <f t="shared" si="96"/>
        <v/>
      </c>
      <c r="L806" s="57" t="str">
        <f t="shared" si="103"/>
        <v/>
      </c>
      <c r="M806" s="186"/>
      <c r="N806" s="189"/>
      <c r="O806" s="190"/>
      <c r="P806" s="190" t="str">
        <f>IF(OR(ISBLANK(V806),COUNTBLANK(V806:$V$1048576)=ROWS(V806:$V$1048576)),"",$R$2*(1+SUM(V$7:V806)))</f>
        <v/>
      </c>
      <c r="Q806" s="191"/>
      <c r="R806" s="189"/>
      <c r="S806" s="53" t="str">
        <f t="shared" si="97"/>
        <v/>
      </c>
      <c r="T806" s="63" t="str">
        <f t="shared" si="98"/>
        <v/>
      </c>
      <c r="U806" s="64" t="str">
        <f>IF(OR(ISBLANK(Trades!R806), ISBLANK(Trades!H806), ISBLANK(Trades!I806)), "", IF(Trades!H806=Trades!I806, "N/A", (Trades!R806-Trades!H806)/(Trades!H806-Trades!I806)))</f>
        <v/>
      </c>
      <c r="V806" s="65" t="str">
        <f t="shared" si="99"/>
        <v/>
      </c>
      <c r="W806" s="66" t="str">
        <f t="shared" si="100"/>
        <v/>
      </c>
      <c r="X806" s="62" t="str">
        <f t="shared" si="101"/>
        <v/>
      </c>
      <c r="Y806" s="45"/>
      <c r="Z806" s="44"/>
      <c r="AA806" s="41"/>
      <c r="AB806" s="39"/>
      <c r="AC806" s="37" t="str">
        <f t="shared" si="102"/>
        <v/>
      </c>
    </row>
    <row r="807" spans="2:29" x14ac:dyDescent="0.25">
      <c r="B807" s="54">
        <v>801</v>
      </c>
      <c r="C807" s="168"/>
      <c r="D807" s="51"/>
      <c r="E807" s="29"/>
      <c r="F807" s="48"/>
      <c r="G807" s="29"/>
      <c r="H807" s="187"/>
      <c r="I807" s="187"/>
      <c r="J807" s="195"/>
      <c r="K807" s="86" t="str">
        <f t="shared" si="96"/>
        <v/>
      </c>
      <c r="L807" s="57" t="str">
        <f t="shared" si="103"/>
        <v/>
      </c>
      <c r="M807" s="186"/>
      <c r="N807" s="189"/>
      <c r="O807" s="190"/>
      <c r="P807" s="190" t="str">
        <f>IF(OR(ISBLANK(V807),COUNTBLANK(V807:$V$1048576)=ROWS(V807:$V$1048576)),"",$R$2*(1+SUM(V$7:V807)))</f>
        <v/>
      </c>
      <c r="Q807" s="191"/>
      <c r="R807" s="189"/>
      <c r="S807" s="53" t="str">
        <f t="shared" si="97"/>
        <v/>
      </c>
      <c r="T807" s="63" t="str">
        <f t="shared" si="98"/>
        <v/>
      </c>
      <c r="U807" s="64" t="str">
        <f>IF(OR(ISBLANK(Trades!R807), ISBLANK(Trades!H807), ISBLANK(Trades!I807)), "", IF(Trades!H807=Trades!I807, "N/A", (Trades!R807-Trades!H807)/(Trades!H807-Trades!I807)))</f>
        <v/>
      </c>
      <c r="V807" s="65" t="str">
        <f t="shared" si="99"/>
        <v/>
      </c>
      <c r="W807" s="66" t="str">
        <f t="shared" si="100"/>
        <v/>
      </c>
      <c r="X807" s="62" t="str">
        <f t="shared" si="101"/>
        <v/>
      </c>
      <c r="Y807" s="45"/>
      <c r="Z807" s="44"/>
      <c r="AA807" s="41"/>
      <c r="AB807" s="39"/>
      <c r="AC807" s="37" t="str">
        <f t="shared" si="102"/>
        <v/>
      </c>
    </row>
    <row r="808" spans="2:29" x14ac:dyDescent="0.25">
      <c r="B808" s="54">
        <v>802</v>
      </c>
      <c r="C808" s="168"/>
      <c r="D808" s="51"/>
      <c r="E808" s="29"/>
      <c r="F808" s="48"/>
      <c r="G808" s="29"/>
      <c r="H808" s="187"/>
      <c r="I808" s="187"/>
      <c r="J808" s="195"/>
      <c r="K808" s="86" t="str">
        <f t="shared" si="96"/>
        <v/>
      </c>
      <c r="L808" s="57" t="str">
        <f t="shared" si="103"/>
        <v/>
      </c>
      <c r="M808" s="186"/>
      <c r="N808" s="189"/>
      <c r="O808" s="190"/>
      <c r="P808" s="190" t="str">
        <f>IF(OR(ISBLANK(V808),COUNTBLANK(V808:$V$1048576)=ROWS(V808:$V$1048576)),"",$R$2*(1+SUM(V$7:V808)))</f>
        <v/>
      </c>
      <c r="Q808" s="191"/>
      <c r="R808" s="189"/>
      <c r="S808" s="53" t="str">
        <f t="shared" si="97"/>
        <v/>
      </c>
      <c r="T808" s="63" t="str">
        <f t="shared" si="98"/>
        <v/>
      </c>
      <c r="U808" s="64" t="str">
        <f>IF(OR(ISBLANK(Trades!R808), ISBLANK(Trades!H808), ISBLANK(Trades!I808)), "", IF(Trades!H808=Trades!I808, "N/A", (Trades!R808-Trades!H808)/(Trades!H808-Trades!I808)))</f>
        <v/>
      </c>
      <c r="V808" s="65" t="str">
        <f t="shared" si="99"/>
        <v/>
      </c>
      <c r="W808" s="66" t="str">
        <f t="shared" si="100"/>
        <v/>
      </c>
      <c r="X808" s="62" t="str">
        <f t="shared" si="101"/>
        <v/>
      </c>
      <c r="Y808" s="45"/>
      <c r="Z808" s="44"/>
      <c r="AA808" s="41"/>
      <c r="AB808" s="39"/>
      <c r="AC808" s="37" t="str">
        <f t="shared" si="102"/>
        <v/>
      </c>
    </row>
    <row r="809" spans="2:29" x14ac:dyDescent="0.25">
      <c r="B809" s="54">
        <v>803</v>
      </c>
      <c r="C809" s="168"/>
      <c r="D809" s="51"/>
      <c r="E809" s="29"/>
      <c r="F809" s="48"/>
      <c r="G809" s="29"/>
      <c r="H809" s="187"/>
      <c r="I809" s="187"/>
      <c r="J809" s="195"/>
      <c r="K809" s="86" t="str">
        <f t="shared" si="96"/>
        <v/>
      </c>
      <c r="L809" s="57" t="str">
        <f t="shared" si="103"/>
        <v/>
      </c>
      <c r="M809" s="186"/>
      <c r="N809" s="189"/>
      <c r="O809" s="190"/>
      <c r="P809" s="190" t="str">
        <f>IF(OR(ISBLANK(V809),COUNTBLANK(V809:$V$1048576)=ROWS(V809:$V$1048576)),"",$R$2*(1+SUM(V$7:V809)))</f>
        <v/>
      </c>
      <c r="Q809" s="191"/>
      <c r="R809" s="189"/>
      <c r="S809" s="53" t="str">
        <f t="shared" si="97"/>
        <v/>
      </c>
      <c r="T809" s="63" t="str">
        <f t="shared" si="98"/>
        <v/>
      </c>
      <c r="U809" s="64" t="str">
        <f>IF(OR(ISBLANK(Trades!R809), ISBLANK(Trades!H809), ISBLANK(Trades!I809)), "", IF(Trades!H809=Trades!I809, "N/A", (Trades!R809-Trades!H809)/(Trades!H809-Trades!I809)))</f>
        <v/>
      </c>
      <c r="V809" s="65" t="str">
        <f t="shared" si="99"/>
        <v/>
      </c>
      <c r="W809" s="66" t="str">
        <f t="shared" si="100"/>
        <v/>
      </c>
      <c r="X809" s="62" t="str">
        <f t="shared" si="101"/>
        <v/>
      </c>
      <c r="Y809" s="45"/>
      <c r="Z809" s="44"/>
      <c r="AA809" s="41"/>
      <c r="AB809" s="39"/>
      <c r="AC809" s="37" t="str">
        <f t="shared" si="102"/>
        <v/>
      </c>
    </row>
    <row r="810" spans="2:29" x14ac:dyDescent="0.25">
      <c r="B810" s="54">
        <v>804</v>
      </c>
      <c r="C810" s="168"/>
      <c r="D810" s="51"/>
      <c r="E810" s="29"/>
      <c r="F810" s="48"/>
      <c r="G810" s="29"/>
      <c r="H810" s="187"/>
      <c r="I810" s="187"/>
      <c r="J810" s="195"/>
      <c r="K810" s="86" t="str">
        <f t="shared" si="96"/>
        <v/>
      </c>
      <c r="L810" s="57" t="str">
        <f t="shared" si="103"/>
        <v/>
      </c>
      <c r="M810" s="186"/>
      <c r="N810" s="189"/>
      <c r="O810" s="190"/>
      <c r="P810" s="190" t="str">
        <f>IF(OR(ISBLANK(V810),COUNTBLANK(V810:$V$1048576)=ROWS(V810:$V$1048576)),"",$R$2*(1+SUM(V$7:V810)))</f>
        <v/>
      </c>
      <c r="Q810" s="191"/>
      <c r="R810" s="189"/>
      <c r="S810" s="53" t="str">
        <f t="shared" si="97"/>
        <v/>
      </c>
      <c r="T810" s="63" t="str">
        <f t="shared" si="98"/>
        <v/>
      </c>
      <c r="U810" s="64" t="str">
        <f>IF(OR(ISBLANK(Trades!R810), ISBLANK(Trades!H810), ISBLANK(Trades!I810)), "", IF(Trades!H810=Trades!I810, "N/A", (Trades!R810-Trades!H810)/(Trades!H810-Trades!I810)))</f>
        <v/>
      </c>
      <c r="V810" s="65" t="str">
        <f t="shared" si="99"/>
        <v/>
      </c>
      <c r="W810" s="66" t="str">
        <f t="shared" si="100"/>
        <v/>
      </c>
      <c r="X810" s="62" t="str">
        <f t="shared" si="101"/>
        <v/>
      </c>
      <c r="Y810" s="45"/>
      <c r="Z810" s="44"/>
      <c r="AA810" s="41"/>
      <c r="AB810" s="39"/>
      <c r="AC810" s="37" t="str">
        <f t="shared" si="102"/>
        <v/>
      </c>
    </row>
    <row r="811" spans="2:29" x14ac:dyDescent="0.25">
      <c r="B811" s="54">
        <v>805</v>
      </c>
      <c r="C811" s="168"/>
      <c r="D811" s="51"/>
      <c r="E811" s="29"/>
      <c r="F811" s="48"/>
      <c r="G811" s="29"/>
      <c r="H811" s="187"/>
      <c r="I811" s="187"/>
      <c r="J811" s="195"/>
      <c r="K811" s="86" t="str">
        <f t="shared" si="96"/>
        <v/>
      </c>
      <c r="L811" s="57" t="str">
        <f t="shared" si="103"/>
        <v/>
      </c>
      <c r="M811" s="186"/>
      <c r="N811" s="189"/>
      <c r="O811" s="190"/>
      <c r="P811" s="190" t="str">
        <f>IF(OR(ISBLANK(V811),COUNTBLANK(V811:$V$1048576)=ROWS(V811:$V$1048576)),"",$R$2*(1+SUM(V$7:V811)))</f>
        <v/>
      </c>
      <c r="Q811" s="191"/>
      <c r="R811" s="189"/>
      <c r="S811" s="53" t="str">
        <f t="shared" si="97"/>
        <v/>
      </c>
      <c r="T811" s="63" t="str">
        <f t="shared" si="98"/>
        <v/>
      </c>
      <c r="U811" s="64" t="str">
        <f>IF(OR(ISBLANK(Trades!R811), ISBLANK(Trades!H811), ISBLANK(Trades!I811)), "", IF(Trades!H811=Trades!I811, "N/A", (Trades!R811-Trades!H811)/(Trades!H811-Trades!I811)))</f>
        <v/>
      </c>
      <c r="V811" s="65" t="str">
        <f t="shared" si="99"/>
        <v/>
      </c>
      <c r="W811" s="66" t="str">
        <f t="shared" si="100"/>
        <v/>
      </c>
      <c r="X811" s="62" t="str">
        <f t="shared" si="101"/>
        <v/>
      </c>
      <c r="Y811" s="45"/>
      <c r="Z811" s="44"/>
      <c r="AA811" s="41"/>
      <c r="AB811" s="39"/>
      <c r="AC811" s="37" t="str">
        <f t="shared" si="102"/>
        <v/>
      </c>
    </row>
    <row r="812" spans="2:29" x14ac:dyDescent="0.25">
      <c r="B812" s="54">
        <v>806</v>
      </c>
      <c r="C812" s="168"/>
      <c r="D812" s="51"/>
      <c r="E812" s="29"/>
      <c r="F812" s="48"/>
      <c r="G812" s="29"/>
      <c r="H812" s="187"/>
      <c r="I812" s="187"/>
      <c r="J812" s="195"/>
      <c r="K812" s="86" t="str">
        <f t="shared" si="96"/>
        <v/>
      </c>
      <c r="L812" s="57" t="str">
        <f t="shared" si="103"/>
        <v/>
      </c>
      <c r="M812" s="186"/>
      <c r="N812" s="189"/>
      <c r="O812" s="190"/>
      <c r="P812" s="190" t="str">
        <f>IF(OR(ISBLANK(V812),COUNTBLANK(V812:$V$1048576)=ROWS(V812:$V$1048576)),"",$R$2*(1+SUM(V$7:V812)))</f>
        <v/>
      </c>
      <c r="Q812" s="191"/>
      <c r="R812" s="189"/>
      <c r="S812" s="53" t="str">
        <f t="shared" si="97"/>
        <v/>
      </c>
      <c r="T812" s="63" t="str">
        <f t="shared" si="98"/>
        <v/>
      </c>
      <c r="U812" s="64" t="str">
        <f>IF(OR(ISBLANK(Trades!R812), ISBLANK(Trades!H812), ISBLANK(Trades!I812)), "", IF(Trades!H812=Trades!I812, "N/A", (Trades!R812-Trades!H812)/(Trades!H812-Trades!I812)))</f>
        <v/>
      </c>
      <c r="V812" s="65" t="str">
        <f t="shared" si="99"/>
        <v/>
      </c>
      <c r="W812" s="66" t="str">
        <f t="shared" si="100"/>
        <v/>
      </c>
      <c r="X812" s="62" t="str">
        <f t="shared" si="101"/>
        <v/>
      </c>
      <c r="Y812" s="45"/>
      <c r="Z812" s="44"/>
      <c r="AA812" s="41"/>
      <c r="AB812" s="39"/>
      <c r="AC812" s="37" t="str">
        <f t="shared" si="102"/>
        <v/>
      </c>
    </row>
    <row r="813" spans="2:29" x14ac:dyDescent="0.25">
      <c r="B813" s="54">
        <v>807</v>
      </c>
      <c r="C813" s="168"/>
      <c r="D813" s="51"/>
      <c r="E813" s="29"/>
      <c r="F813" s="48"/>
      <c r="G813" s="29"/>
      <c r="H813" s="187"/>
      <c r="I813" s="187"/>
      <c r="J813" s="195"/>
      <c r="K813" s="86" t="str">
        <f t="shared" si="96"/>
        <v/>
      </c>
      <c r="L813" s="57" t="str">
        <f t="shared" si="103"/>
        <v/>
      </c>
      <c r="M813" s="186"/>
      <c r="N813" s="189"/>
      <c r="O813" s="190"/>
      <c r="P813" s="190" t="str">
        <f>IF(OR(ISBLANK(V813),COUNTBLANK(V813:$V$1048576)=ROWS(V813:$V$1048576)),"",$R$2*(1+SUM(V$7:V813)))</f>
        <v/>
      </c>
      <c r="Q813" s="191"/>
      <c r="R813" s="189"/>
      <c r="S813" s="53" t="str">
        <f t="shared" si="97"/>
        <v/>
      </c>
      <c r="T813" s="63" t="str">
        <f t="shared" si="98"/>
        <v/>
      </c>
      <c r="U813" s="64" t="str">
        <f>IF(OR(ISBLANK(Trades!R813), ISBLANK(Trades!H813), ISBLANK(Trades!I813)), "", IF(Trades!H813=Trades!I813, "N/A", (Trades!R813-Trades!H813)/(Trades!H813-Trades!I813)))</f>
        <v/>
      </c>
      <c r="V813" s="65" t="str">
        <f t="shared" si="99"/>
        <v/>
      </c>
      <c r="W813" s="66" t="str">
        <f t="shared" si="100"/>
        <v/>
      </c>
      <c r="X813" s="62" t="str">
        <f t="shared" si="101"/>
        <v/>
      </c>
      <c r="Y813" s="45"/>
      <c r="Z813" s="44"/>
      <c r="AA813" s="41"/>
      <c r="AB813" s="39"/>
      <c r="AC813" s="37" t="str">
        <f t="shared" si="102"/>
        <v/>
      </c>
    </row>
    <row r="814" spans="2:29" x14ac:dyDescent="0.25">
      <c r="B814" s="54">
        <v>808</v>
      </c>
      <c r="C814" s="168"/>
      <c r="D814" s="51"/>
      <c r="E814" s="29"/>
      <c r="F814" s="48"/>
      <c r="G814" s="29"/>
      <c r="H814" s="187"/>
      <c r="I814" s="187"/>
      <c r="J814" s="195"/>
      <c r="K814" s="86" t="str">
        <f t="shared" si="96"/>
        <v/>
      </c>
      <c r="L814" s="57" t="str">
        <f t="shared" si="103"/>
        <v/>
      </c>
      <c r="M814" s="186"/>
      <c r="N814" s="189"/>
      <c r="O814" s="190"/>
      <c r="P814" s="190" t="str">
        <f>IF(OR(ISBLANK(V814),COUNTBLANK(V814:$V$1048576)=ROWS(V814:$V$1048576)),"",$R$2*(1+SUM(V$7:V814)))</f>
        <v/>
      </c>
      <c r="Q814" s="191"/>
      <c r="R814" s="189"/>
      <c r="S814" s="53" t="str">
        <f t="shared" si="97"/>
        <v/>
      </c>
      <c r="T814" s="63" t="str">
        <f t="shared" si="98"/>
        <v/>
      </c>
      <c r="U814" s="64" t="str">
        <f>IF(OR(ISBLANK(Trades!R814), ISBLANK(Trades!H814), ISBLANK(Trades!I814)), "", IF(Trades!H814=Trades!I814, "N/A", (Trades!R814-Trades!H814)/(Trades!H814-Trades!I814)))</f>
        <v/>
      </c>
      <c r="V814" s="65" t="str">
        <f t="shared" si="99"/>
        <v/>
      </c>
      <c r="W814" s="66" t="str">
        <f t="shared" si="100"/>
        <v/>
      </c>
      <c r="X814" s="62" t="str">
        <f t="shared" si="101"/>
        <v/>
      </c>
      <c r="Y814" s="45"/>
      <c r="Z814" s="44"/>
      <c r="AA814" s="41"/>
      <c r="AB814" s="39"/>
      <c r="AC814" s="37" t="str">
        <f t="shared" si="102"/>
        <v/>
      </c>
    </row>
    <row r="815" spans="2:29" x14ac:dyDescent="0.25">
      <c r="B815" s="54">
        <v>809</v>
      </c>
      <c r="C815" s="168"/>
      <c r="D815" s="51"/>
      <c r="E815" s="29"/>
      <c r="F815" s="48"/>
      <c r="G815" s="29"/>
      <c r="H815" s="187"/>
      <c r="I815" s="187"/>
      <c r="J815" s="195"/>
      <c r="K815" s="86" t="str">
        <f t="shared" si="96"/>
        <v/>
      </c>
      <c r="L815" s="57" t="str">
        <f t="shared" si="103"/>
        <v/>
      </c>
      <c r="M815" s="186"/>
      <c r="N815" s="189"/>
      <c r="O815" s="190"/>
      <c r="P815" s="190" t="str">
        <f>IF(OR(ISBLANK(V815),COUNTBLANK(V815:$V$1048576)=ROWS(V815:$V$1048576)),"",$R$2*(1+SUM(V$7:V815)))</f>
        <v/>
      </c>
      <c r="Q815" s="191"/>
      <c r="R815" s="189"/>
      <c r="S815" s="53" t="str">
        <f t="shared" si="97"/>
        <v/>
      </c>
      <c r="T815" s="63" t="str">
        <f t="shared" si="98"/>
        <v/>
      </c>
      <c r="U815" s="64" t="str">
        <f>IF(OR(ISBLANK(Trades!R815), ISBLANK(Trades!H815), ISBLANK(Trades!I815)), "", IF(Trades!H815=Trades!I815, "N/A", (Trades!R815-Trades!H815)/(Trades!H815-Trades!I815)))</f>
        <v/>
      </c>
      <c r="V815" s="65" t="str">
        <f t="shared" si="99"/>
        <v/>
      </c>
      <c r="W815" s="66" t="str">
        <f t="shared" si="100"/>
        <v/>
      </c>
      <c r="X815" s="62" t="str">
        <f t="shared" si="101"/>
        <v/>
      </c>
      <c r="Y815" s="45"/>
      <c r="Z815" s="44"/>
      <c r="AA815" s="41"/>
      <c r="AB815" s="39"/>
      <c r="AC815" s="37" t="str">
        <f t="shared" si="102"/>
        <v/>
      </c>
    </row>
    <row r="816" spans="2:29" x14ac:dyDescent="0.25">
      <c r="B816" s="54">
        <v>810</v>
      </c>
      <c r="C816" s="168"/>
      <c r="D816" s="51"/>
      <c r="E816" s="29"/>
      <c r="F816" s="48"/>
      <c r="G816" s="29"/>
      <c r="H816" s="187"/>
      <c r="I816" s="187"/>
      <c r="J816" s="195"/>
      <c r="K816" s="86" t="str">
        <f t="shared" si="96"/>
        <v/>
      </c>
      <c r="L816" s="57" t="str">
        <f t="shared" si="103"/>
        <v/>
      </c>
      <c r="M816" s="186"/>
      <c r="N816" s="189"/>
      <c r="O816" s="190"/>
      <c r="P816" s="190" t="str">
        <f>IF(OR(ISBLANK(V816),COUNTBLANK(V816:$V$1048576)=ROWS(V816:$V$1048576)),"",$R$2*(1+SUM(V$7:V816)))</f>
        <v/>
      </c>
      <c r="Q816" s="191"/>
      <c r="R816" s="189"/>
      <c r="S816" s="53" t="str">
        <f t="shared" si="97"/>
        <v/>
      </c>
      <c r="T816" s="63" t="str">
        <f t="shared" si="98"/>
        <v/>
      </c>
      <c r="U816" s="64" t="str">
        <f>IF(OR(ISBLANK(Trades!R816), ISBLANK(Trades!H816), ISBLANK(Trades!I816)), "", IF(Trades!H816=Trades!I816, "N/A", (Trades!R816-Trades!H816)/(Trades!H816-Trades!I816)))</f>
        <v/>
      </c>
      <c r="V816" s="65" t="str">
        <f t="shared" si="99"/>
        <v/>
      </c>
      <c r="W816" s="66" t="str">
        <f t="shared" si="100"/>
        <v/>
      </c>
      <c r="X816" s="62" t="str">
        <f t="shared" si="101"/>
        <v/>
      </c>
      <c r="Y816" s="45"/>
      <c r="Z816" s="44"/>
      <c r="AA816" s="41"/>
      <c r="AB816" s="39"/>
      <c r="AC816" s="37" t="str">
        <f t="shared" si="102"/>
        <v/>
      </c>
    </row>
    <row r="817" spans="2:29" x14ac:dyDescent="0.25">
      <c r="B817" s="54">
        <v>811</v>
      </c>
      <c r="C817" s="168"/>
      <c r="D817" s="51"/>
      <c r="E817" s="29"/>
      <c r="F817" s="48"/>
      <c r="G817" s="29"/>
      <c r="H817" s="187"/>
      <c r="I817" s="187"/>
      <c r="J817" s="195"/>
      <c r="K817" s="86" t="str">
        <f t="shared" si="96"/>
        <v/>
      </c>
      <c r="L817" s="57" t="str">
        <f t="shared" si="103"/>
        <v/>
      </c>
      <c r="M817" s="186"/>
      <c r="N817" s="189"/>
      <c r="O817" s="190"/>
      <c r="P817" s="190" t="str">
        <f>IF(OR(ISBLANK(V817),COUNTBLANK(V817:$V$1048576)=ROWS(V817:$V$1048576)),"",$R$2*(1+SUM(V$7:V817)))</f>
        <v/>
      </c>
      <c r="Q817" s="191"/>
      <c r="R817" s="189"/>
      <c r="S817" s="53" t="str">
        <f t="shared" si="97"/>
        <v/>
      </c>
      <c r="T817" s="63" t="str">
        <f t="shared" si="98"/>
        <v/>
      </c>
      <c r="U817" s="64" t="str">
        <f>IF(OR(ISBLANK(Trades!R817), ISBLANK(Trades!H817), ISBLANK(Trades!I817)), "", IF(Trades!H817=Trades!I817, "N/A", (Trades!R817-Trades!H817)/(Trades!H817-Trades!I817)))</f>
        <v/>
      </c>
      <c r="V817" s="65" t="str">
        <f t="shared" si="99"/>
        <v/>
      </c>
      <c r="W817" s="66" t="str">
        <f t="shared" si="100"/>
        <v/>
      </c>
      <c r="X817" s="62" t="str">
        <f t="shared" si="101"/>
        <v/>
      </c>
      <c r="Y817" s="45"/>
      <c r="Z817" s="44"/>
      <c r="AA817" s="41"/>
      <c r="AB817" s="39"/>
      <c r="AC817" s="37" t="str">
        <f t="shared" si="102"/>
        <v/>
      </c>
    </row>
    <row r="818" spans="2:29" x14ac:dyDescent="0.25">
      <c r="B818" s="54">
        <v>812</v>
      </c>
      <c r="C818" s="168"/>
      <c r="D818" s="51"/>
      <c r="E818" s="29"/>
      <c r="F818" s="48"/>
      <c r="G818" s="29"/>
      <c r="H818" s="187"/>
      <c r="I818" s="187"/>
      <c r="J818" s="195"/>
      <c r="K818" s="86" t="str">
        <f t="shared" si="96"/>
        <v/>
      </c>
      <c r="L818" s="57" t="str">
        <f t="shared" si="103"/>
        <v/>
      </c>
      <c r="M818" s="186"/>
      <c r="N818" s="189"/>
      <c r="O818" s="190"/>
      <c r="P818" s="190" t="str">
        <f>IF(OR(ISBLANK(V818),COUNTBLANK(V818:$V$1048576)=ROWS(V818:$V$1048576)),"",$R$2*(1+SUM(V$7:V818)))</f>
        <v/>
      </c>
      <c r="Q818" s="191"/>
      <c r="R818" s="189"/>
      <c r="S818" s="53" t="str">
        <f t="shared" si="97"/>
        <v/>
      </c>
      <c r="T818" s="63" t="str">
        <f t="shared" si="98"/>
        <v/>
      </c>
      <c r="U818" s="64" t="str">
        <f>IF(OR(ISBLANK(Trades!R818), ISBLANK(Trades!H818), ISBLANK(Trades!I818)), "", IF(Trades!H818=Trades!I818, "N/A", (Trades!R818-Trades!H818)/(Trades!H818-Trades!I818)))</f>
        <v/>
      </c>
      <c r="V818" s="65" t="str">
        <f t="shared" si="99"/>
        <v/>
      </c>
      <c r="W818" s="66" t="str">
        <f t="shared" si="100"/>
        <v/>
      </c>
      <c r="X818" s="62" t="str">
        <f t="shared" si="101"/>
        <v/>
      </c>
      <c r="Y818" s="45"/>
      <c r="Z818" s="44"/>
      <c r="AA818" s="41"/>
      <c r="AB818" s="39"/>
      <c r="AC818" s="37" t="str">
        <f t="shared" si="102"/>
        <v/>
      </c>
    </row>
    <row r="819" spans="2:29" x14ac:dyDescent="0.25">
      <c r="B819" s="54">
        <v>813</v>
      </c>
      <c r="C819" s="168"/>
      <c r="D819" s="51"/>
      <c r="E819" s="29"/>
      <c r="F819" s="48"/>
      <c r="G819" s="29"/>
      <c r="H819" s="187"/>
      <c r="I819" s="187"/>
      <c r="J819" s="195"/>
      <c r="K819" s="86" t="str">
        <f t="shared" si="96"/>
        <v/>
      </c>
      <c r="L819" s="57" t="str">
        <f t="shared" si="103"/>
        <v/>
      </c>
      <c r="M819" s="186"/>
      <c r="N819" s="189"/>
      <c r="O819" s="190"/>
      <c r="P819" s="190" t="str">
        <f>IF(OR(ISBLANK(V819),COUNTBLANK(V819:$V$1048576)=ROWS(V819:$V$1048576)),"",$R$2*(1+SUM(V$7:V819)))</f>
        <v/>
      </c>
      <c r="Q819" s="191"/>
      <c r="R819" s="189"/>
      <c r="S819" s="53" t="str">
        <f t="shared" si="97"/>
        <v/>
      </c>
      <c r="T819" s="63" t="str">
        <f t="shared" si="98"/>
        <v/>
      </c>
      <c r="U819" s="64" t="str">
        <f>IF(OR(ISBLANK(Trades!R819), ISBLANK(Trades!H819), ISBLANK(Trades!I819)), "", IF(Trades!H819=Trades!I819, "N/A", (Trades!R819-Trades!H819)/(Trades!H819-Trades!I819)))</f>
        <v/>
      </c>
      <c r="V819" s="65" t="str">
        <f t="shared" si="99"/>
        <v/>
      </c>
      <c r="W819" s="66" t="str">
        <f t="shared" si="100"/>
        <v/>
      </c>
      <c r="X819" s="62" t="str">
        <f t="shared" si="101"/>
        <v/>
      </c>
      <c r="Y819" s="45"/>
      <c r="Z819" s="44"/>
      <c r="AA819" s="41"/>
      <c r="AB819" s="39"/>
      <c r="AC819" s="37" t="str">
        <f t="shared" si="102"/>
        <v/>
      </c>
    </row>
    <row r="820" spans="2:29" x14ac:dyDescent="0.25">
      <c r="B820" s="54">
        <v>814</v>
      </c>
      <c r="C820" s="168"/>
      <c r="D820" s="51"/>
      <c r="E820" s="29"/>
      <c r="F820" s="48"/>
      <c r="G820" s="29"/>
      <c r="H820" s="187"/>
      <c r="I820" s="187"/>
      <c r="J820" s="195"/>
      <c r="K820" s="86" t="str">
        <f t="shared" si="96"/>
        <v/>
      </c>
      <c r="L820" s="57" t="str">
        <f t="shared" si="103"/>
        <v/>
      </c>
      <c r="M820" s="186"/>
      <c r="N820" s="189"/>
      <c r="O820" s="190"/>
      <c r="P820" s="190" t="str">
        <f>IF(OR(ISBLANK(V820),COUNTBLANK(V820:$V$1048576)=ROWS(V820:$V$1048576)),"",$R$2*(1+SUM(V$7:V820)))</f>
        <v/>
      </c>
      <c r="Q820" s="191"/>
      <c r="R820" s="189"/>
      <c r="S820" s="53" t="str">
        <f t="shared" si="97"/>
        <v/>
      </c>
      <c r="T820" s="63" t="str">
        <f t="shared" si="98"/>
        <v/>
      </c>
      <c r="U820" s="64" t="str">
        <f>IF(OR(ISBLANK(Trades!R820), ISBLANK(Trades!H820), ISBLANK(Trades!I820)), "", IF(Trades!H820=Trades!I820, "N/A", (Trades!R820-Trades!H820)/(Trades!H820-Trades!I820)))</f>
        <v/>
      </c>
      <c r="V820" s="65" t="str">
        <f t="shared" si="99"/>
        <v/>
      </c>
      <c r="W820" s="66" t="str">
        <f t="shared" si="100"/>
        <v/>
      </c>
      <c r="X820" s="62" t="str">
        <f t="shared" si="101"/>
        <v/>
      </c>
      <c r="Y820" s="45"/>
      <c r="Z820" s="44"/>
      <c r="AA820" s="41"/>
      <c r="AB820" s="39"/>
      <c r="AC820" s="37" t="str">
        <f t="shared" si="102"/>
        <v/>
      </c>
    </row>
    <row r="821" spans="2:29" x14ac:dyDescent="0.25">
      <c r="B821" s="54">
        <v>815</v>
      </c>
      <c r="C821" s="168"/>
      <c r="D821" s="51"/>
      <c r="E821" s="29"/>
      <c r="F821" s="48"/>
      <c r="G821" s="29"/>
      <c r="H821" s="187"/>
      <c r="I821" s="187"/>
      <c r="J821" s="195"/>
      <c r="K821" s="86" t="str">
        <f t="shared" si="96"/>
        <v/>
      </c>
      <c r="L821" s="57" t="str">
        <f t="shared" si="103"/>
        <v/>
      </c>
      <c r="M821" s="186"/>
      <c r="N821" s="189"/>
      <c r="O821" s="190"/>
      <c r="P821" s="190" t="str">
        <f>IF(OR(ISBLANK(V821),COUNTBLANK(V821:$V$1048576)=ROWS(V821:$V$1048576)),"",$R$2*(1+SUM(V$7:V821)))</f>
        <v/>
      </c>
      <c r="Q821" s="191"/>
      <c r="R821" s="189"/>
      <c r="S821" s="53" t="str">
        <f t="shared" si="97"/>
        <v/>
      </c>
      <c r="T821" s="63" t="str">
        <f t="shared" si="98"/>
        <v/>
      </c>
      <c r="U821" s="64" t="str">
        <f>IF(OR(ISBLANK(Trades!R821), ISBLANK(Trades!H821), ISBLANK(Trades!I821)), "", IF(Trades!H821=Trades!I821, "N/A", (Trades!R821-Trades!H821)/(Trades!H821-Trades!I821)))</f>
        <v/>
      </c>
      <c r="V821" s="65" t="str">
        <f t="shared" si="99"/>
        <v/>
      </c>
      <c r="W821" s="66" t="str">
        <f t="shared" si="100"/>
        <v/>
      </c>
      <c r="X821" s="62" t="str">
        <f t="shared" si="101"/>
        <v/>
      </c>
      <c r="Y821" s="45"/>
      <c r="Z821" s="44"/>
      <c r="AA821" s="41"/>
      <c r="AB821" s="39"/>
      <c r="AC821" s="37" t="str">
        <f t="shared" si="102"/>
        <v/>
      </c>
    </row>
    <row r="822" spans="2:29" x14ac:dyDescent="0.25">
      <c r="B822" s="54">
        <v>816</v>
      </c>
      <c r="C822" s="168"/>
      <c r="D822" s="51"/>
      <c r="E822" s="29"/>
      <c r="F822" s="48"/>
      <c r="G822" s="29"/>
      <c r="H822" s="187"/>
      <c r="I822" s="187"/>
      <c r="J822" s="195"/>
      <c r="K822" s="86" t="str">
        <f t="shared" si="96"/>
        <v/>
      </c>
      <c r="L822" s="57" t="str">
        <f t="shared" si="103"/>
        <v/>
      </c>
      <c r="M822" s="186"/>
      <c r="N822" s="189"/>
      <c r="O822" s="190"/>
      <c r="P822" s="190" t="str">
        <f>IF(OR(ISBLANK(V822),COUNTBLANK(V822:$V$1048576)=ROWS(V822:$V$1048576)),"",$R$2*(1+SUM(V$7:V822)))</f>
        <v/>
      </c>
      <c r="Q822" s="191"/>
      <c r="R822" s="189"/>
      <c r="S822" s="53" t="str">
        <f t="shared" si="97"/>
        <v/>
      </c>
      <c r="T822" s="63" t="str">
        <f t="shared" si="98"/>
        <v/>
      </c>
      <c r="U822" s="64" t="str">
        <f>IF(OR(ISBLANK(Trades!R822), ISBLANK(Trades!H822), ISBLANK(Trades!I822)), "", IF(Trades!H822=Trades!I822, "N/A", (Trades!R822-Trades!H822)/(Trades!H822-Trades!I822)))</f>
        <v/>
      </c>
      <c r="V822" s="65" t="str">
        <f t="shared" si="99"/>
        <v/>
      </c>
      <c r="W822" s="66" t="str">
        <f t="shared" si="100"/>
        <v/>
      </c>
      <c r="X822" s="62" t="str">
        <f t="shared" si="101"/>
        <v/>
      </c>
      <c r="Y822" s="45"/>
      <c r="Z822" s="44"/>
      <c r="AA822" s="41"/>
      <c r="AB822" s="39"/>
      <c r="AC822" s="37" t="str">
        <f t="shared" si="102"/>
        <v/>
      </c>
    </row>
    <row r="823" spans="2:29" x14ac:dyDescent="0.25">
      <c r="B823" s="54">
        <v>817</v>
      </c>
      <c r="C823" s="168"/>
      <c r="D823" s="51"/>
      <c r="E823" s="29"/>
      <c r="F823" s="48"/>
      <c r="G823" s="29"/>
      <c r="H823" s="187"/>
      <c r="I823" s="187"/>
      <c r="J823" s="195"/>
      <c r="K823" s="86" t="str">
        <f t="shared" si="96"/>
        <v/>
      </c>
      <c r="L823" s="57" t="str">
        <f t="shared" si="103"/>
        <v/>
      </c>
      <c r="M823" s="186"/>
      <c r="N823" s="189"/>
      <c r="O823" s="190"/>
      <c r="P823" s="190" t="str">
        <f>IF(OR(ISBLANK(V823),COUNTBLANK(V823:$V$1048576)=ROWS(V823:$V$1048576)),"",$R$2*(1+SUM(V$7:V823)))</f>
        <v/>
      </c>
      <c r="Q823" s="191"/>
      <c r="R823" s="189"/>
      <c r="S823" s="53" t="str">
        <f t="shared" si="97"/>
        <v/>
      </c>
      <c r="T823" s="63" t="str">
        <f t="shared" si="98"/>
        <v/>
      </c>
      <c r="U823" s="64" t="str">
        <f>IF(OR(ISBLANK(Trades!R823), ISBLANK(Trades!H823), ISBLANK(Trades!I823)), "", IF(Trades!H823=Trades!I823, "N/A", (Trades!R823-Trades!H823)/(Trades!H823-Trades!I823)))</f>
        <v/>
      </c>
      <c r="V823" s="65" t="str">
        <f t="shared" si="99"/>
        <v/>
      </c>
      <c r="W823" s="66" t="str">
        <f t="shared" si="100"/>
        <v/>
      </c>
      <c r="X823" s="62" t="str">
        <f t="shared" si="101"/>
        <v/>
      </c>
      <c r="Y823" s="45"/>
      <c r="Z823" s="44"/>
      <c r="AA823" s="41"/>
      <c r="AB823" s="39"/>
      <c r="AC823" s="37" t="str">
        <f t="shared" si="102"/>
        <v/>
      </c>
    </row>
    <row r="824" spans="2:29" x14ac:dyDescent="0.25">
      <c r="B824" s="54">
        <v>818</v>
      </c>
      <c r="C824" s="168"/>
      <c r="D824" s="51"/>
      <c r="E824" s="29"/>
      <c r="F824" s="48"/>
      <c r="G824" s="29"/>
      <c r="H824" s="187"/>
      <c r="I824" s="187"/>
      <c r="J824" s="195"/>
      <c r="K824" s="86" t="str">
        <f t="shared" si="96"/>
        <v/>
      </c>
      <c r="L824" s="57" t="str">
        <f t="shared" si="103"/>
        <v/>
      </c>
      <c r="M824" s="186"/>
      <c r="N824" s="189"/>
      <c r="O824" s="190"/>
      <c r="P824" s="190" t="str">
        <f>IF(OR(ISBLANK(V824),COUNTBLANK(V824:$V$1048576)=ROWS(V824:$V$1048576)),"",$R$2*(1+SUM(V$7:V824)))</f>
        <v/>
      </c>
      <c r="Q824" s="191"/>
      <c r="R824" s="189"/>
      <c r="S824" s="53" t="str">
        <f t="shared" si="97"/>
        <v/>
      </c>
      <c r="T824" s="63" t="str">
        <f t="shared" si="98"/>
        <v/>
      </c>
      <c r="U824" s="64" t="str">
        <f>IF(OR(ISBLANK(Trades!R824), ISBLANK(Trades!H824), ISBLANK(Trades!I824)), "", IF(Trades!H824=Trades!I824, "N/A", (Trades!R824-Trades!H824)/(Trades!H824-Trades!I824)))</f>
        <v/>
      </c>
      <c r="V824" s="65" t="str">
        <f t="shared" si="99"/>
        <v/>
      </c>
      <c r="W824" s="66" t="str">
        <f t="shared" si="100"/>
        <v/>
      </c>
      <c r="X824" s="62" t="str">
        <f t="shared" si="101"/>
        <v/>
      </c>
      <c r="Y824" s="45"/>
      <c r="Z824" s="44"/>
      <c r="AA824" s="41"/>
      <c r="AB824" s="39"/>
      <c r="AC824" s="37" t="str">
        <f t="shared" si="102"/>
        <v/>
      </c>
    </row>
    <row r="825" spans="2:29" x14ac:dyDescent="0.25">
      <c r="B825" s="54">
        <v>819</v>
      </c>
      <c r="C825" s="168"/>
      <c r="D825" s="51"/>
      <c r="E825" s="29"/>
      <c r="F825" s="48"/>
      <c r="G825" s="29"/>
      <c r="H825" s="187"/>
      <c r="I825" s="187"/>
      <c r="J825" s="195"/>
      <c r="K825" s="86" t="str">
        <f t="shared" si="96"/>
        <v/>
      </c>
      <c r="L825" s="57" t="str">
        <f t="shared" si="103"/>
        <v/>
      </c>
      <c r="M825" s="186"/>
      <c r="N825" s="189"/>
      <c r="O825" s="190"/>
      <c r="P825" s="190" t="str">
        <f>IF(OR(ISBLANK(V825),COUNTBLANK(V825:$V$1048576)=ROWS(V825:$V$1048576)),"",$R$2*(1+SUM(V$7:V825)))</f>
        <v/>
      </c>
      <c r="Q825" s="191"/>
      <c r="R825" s="189"/>
      <c r="S825" s="53" t="str">
        <f t="shared" si="97"/>
        <v/>
      </c>
      <c r="T825" s="63" t="str">
        <f t="shared" si="98"/>
        <v/>
      </c>
      <c r="U825" s="64" t="str">
        <f>IF(OR(ISBLANK(Trades!R825), ISBLANK(Trades!H825), ISBLANK(Trades!I825)), "", IF(Trades!H825=Trades!I825, "N/A", (Trades!R825-Trades!H825)/(Trades!H825-Trades!I825)))</f>
        <v/>
      </c>
      <c r="V825" s="65" t="str">
        <f t="shared" si="99"/>
        <v/>
      </c>
      <c r="W825" s="66" t="str">
        <f t="shared" si="100"/>
        <v/>
      </c>
      <c r="X825" s="62" t="str">
        <f t="shared" si="101"/>
        <v/>
      </c>
      <c r="Y825" s="45"/>
      <c r="Z825" s="44"/>
      <c r="AA825" s="41"/>
      <c r="AB825" s="39"/>
      <c r="AC825" s="37" t="str">
        <f t="shared" si="102"/>
        <v/>
      </c>
    </row>
    <row r="826" spans="2:29" x14ac:dyDescent="0.25">
      <c r="B826" s="54">
        <v>820</v>
      </c>
      <c r="C826" s="168"/>
      <c r="D826" s="51"/>
      <c r="E826" s="29"/>
      <c r="F826" s="48"/>
      <c r="G826" s="29"/>
      <c r="H826" s="187"/>
      <c r="I826" s="187"/>
      <c r="J826" s="195"/>
      <c r="K826" s="86" t="str">
        <f t="shared" si="96"/>
        <v/>
      </c>
      <c r="L826" s="57" t="str">
        <f t="shared" si="103"/>
        <v/>
      </c>
      <c r="M826" s="186"/>
      <c r="N826" s="189"/>
      <c r="O826" s="190"/>
      <c r="P826" s="190" t="str">
        <f>IF(OR(ISBLANK(V826),COUNTBLANK(V826:$V$1048576)=ROWS(V826:$V$1048576)),"",$R$2*(1+SUM(V$7:V826)))</f>
        <v/>
      </c>
      <c r="Q826" s="191"/>
      <c r="R826" s="189"/>
      <c r="S826" s="53" t="str">
        <f t="shared" si="97"/>
        <v/>
      </c>
      <c r="T826" s="63" t="str">
        <f t="shared" si="98"/>
        <v/>
      </c>
      <c r="U826" s="64" t="str">
        <f>IF(OR(ISBLANK(Trades!R826), ISBLANK(Trades!H826), ISBLANK(Trades!I826)), "", IF(Trades!H826=Trades!I826, "N/A", (Trades!R826-Trades!H826)/(Trades!H826-Trades!I826)))</f>
        <v/>
      </c>
      <c r="V826" s="65" t="str">
        <f t="shared" si="99"/>
        <v/>
      </c>
      <c r="W826" s="66" t="str">
        <f t="shared" si="100"/>
        <v/>
      </c>
      <c r="X826" s="62" t="str">
        <f t="shared" si="101"/>
        <v/>
      </c>
      <c r="Y826" s="45"/>
      <c r="Z826" s="44"/>
      <c r="AA826" s="41"/>
      <c r="AB826" s="39"/>
      <c r="AC826" s="37" t="str">
        <f t="shared" si="102"/>
        <v/>
      </c>
    </row>
    <row r="827" spans="2:29" x14ac:dyDescent="0.25">
      <c r="B827" s="54">
        <v>821</v>
      </c>
      <c r="C827" s="168"/>
      <c r="D827" s="51"/>
      <c r="E827" s="29"/>
      <c r="F827" s="48"/>
      <c r="G827" s="29"/>
      <c r="H827" s="187"/>
      <c r="I827" s="187"/>
      <c r="J827" s="195"/>
      <c r="K827" s="86" t="str">
        <f t="shared" si="96"/>
        <v/>
      </c>
      <c r="L827" s="57" t="str">
        <f t="shared" si="103"/>
        <v/>
      </c>
      <c r="M827" s="186"/>
      <c r="N827" s="189"/>
      <c r="O827" s="190"/>
      <c r="P827" s="190" t="str">
        <f>IF(OR(ISBLANK(V827),COUNTBLANK(V827:$V$1048576)=ROWS(V827:$V$1048576)),"",$R$2*(1+SUM(V$7:V827)))</f>
        <v/>
      </c>
      <c r="Q827" s="191"/>
      <c r="R827" s="189"/>
      <c r="S827" s="53" t="str">
        <f t="shared" si="97"/>
        <v/>
      </c>
      <c r="T827" s="63" t="str">
        <f t="shared" si="98"/>
        <v/>
      </c>
      <c r="U827" s="64" t="str">
        <f>IF(OR(ISBLANK(Trades!R827), ISBLANK(Trades!H827), ISBLANK(Trades!I827)), "", IF(Trades!H827=Trades!I827, "N/A", (Trades!R827-Trades!H827)/(Trades!H827-Trades!I827)))</f>
        <v/>
      </c>
      <c r="V827" s="65" t="str">
        <f t="shared" si="99"/>
        <v/>
      </c>
      <c r="W827" s="66" t="str">
        <f t="shared" si="100"/>
        <v/>
      </c>
      <c r="X827" s="62" t="str">
        <f t="shared" si="101"/>
        <v/>
      </c>
      <c r="Y827" s="45"/>
      <c r="Z827" s="44"/>
      <c r="AA827" s="41"/>
      <c r="AB827" s="39"/>
      <c r="AC827" s="37" t="str">
        <f t="shared" si="102"/>
        <v/>
      </c>
    </row>
    <row r="828" spans="2:29" x14ac:dyDescent="0.25">
      <c r="B828" s="54">
        <v>822</v>
      </c>
      <c r="C828" s="168"/>
      <c r="D828" s="51"/>
      <c r="E828" s="29"/>
      <c r="F828" s="48"/>
      <c r="G828" s="29"/>
      <c r="H828" s="187"/>
      <c r="I828" s="187"/>
      <c r="J828" s="195"/>
      <c r="K828" s="86" t="str">
        <f t="shared" si="96"/>
        <v/>
      </c>
      <c r="L828" s="57" t="str">
        <f t="shared" si="103"/>
        <v/>
      </c>
      <c r="M828" s="186"/>
      <c r="N828" s="189"/>
      <c r="O828" s="190"/>
      <c r="P828" s="190" t="str">
        <f>IF(OR(ISBLANK(V828),COUNTBLANK(V828:$V$1048576)=ROWS(V828:$V$1048576)),"",$R$2*(1+SUM(V$7:V828)))</f>
        <v/>
      </c>
      <c r="Q828" s="191"/>
      <c r="R828" s="189"/>
      <c r="S828" s="53" t="str">
        <f t="shared" si="97"/>
        <v/>
      </c>
      <c r="T828" s="63" t="str">
        <f t="shared" si="98"/>
        <v/>
      </c>
      <c r="U828" s="64" t="str">
        <f>IF(OR(ISBLANK(Trades!R828), ISBLANK(Trades!H828), ISBLANK(Trades!I828)), "", IF(Trades!H828=Trades!I828, "N/A", (Trades!R828-Trades!H828)/(Trades!H828-Trades!I828)))</f>
        <v/>
      </c>
      <c r="V828" s="65" t="str">
        <f t="shared" si="99"/>
        <v/>
      </c>
      <c r="W828" s="66" t="str">
        <f t="shared" si="100"/>
        <v/>
      </c>
      <c r="X828" s="62" t="str">
        <f t="shared" si="101"/>
        <v/>
      </c>
      <c r="Y828" s="45"/>
      <c r="Z828" s="44"/>
      <c r="AA828" s="41"/>
      <c r="AB828" s="39"/>
      <c r="AC828" s="37" t="str">
        <f t="shared" si="102"/>
        <v/>
      </c>
    </row>
    <row r="829" spans="2:29" x14ac:dyDescent="0.25">
      <c r="B829" s="54">
        <v>823</v>
      </c>
      <c r="C829" s="168"/>
      <c r="D829" s="51"/>
      <c r="E829" s="29"/>
      <c r="F829" s="48"/>
      <c r="G829" s="29"/>
      <c r="H829" s="187"/>
      <c r="I829" s="187"/>
      <c r="J829" s="195"/>
      <c r="K829" s="86" t="str">
        <f t="shared" si="96"/>
        <v/>
      </c>
      <c r="L829" s="57" t="str">
        <f t="shared" si="103"/>
        <v/>
      </c>
      <c r="M829" s="186"/>
      <c r="N829" s="189"/>
      <c r="O829" s="190"/>
      <c r="P829" s="190" t="str">
        <f>IF(OR(ISBLANK(V829),COUNTBLANK(V829:$V$1048576)=ROWS(V829:$V$1048576)),"",$R$2*(1+SUM(V$7:V829)))</f>
        <v/>
      </c>
      <c r="Q829" s="191"/>
      <c r="R829" s="189"/>
      <c r="S829" s="53" t="str">
        <f t="shared" si="97"/>
        <v/>
      </c>
      <c r="T829" s="63" t="str">
        <f t="shared" si="98"/>
        <v/>
      </c>
      <c r="U829" s="64" t="str">
        <f>IF(OR(ISBLANK(Trades!R829), ISBLANK(Trades!H829), ISBLANK(Trades!I829)), "", IF(Trades!H829=Trades!I829, "N/A", (Trades!R829-Trades!H829)/(Trades!H829-Trades!I829)))</f>
        <v/>
      </c>
      <c r="V829" s="65" t="str">
        <f t="shared" si="99"/>
        <v/>
      </c>
      <c r="W829" s="66" t="str">
        <f t="shared" si="100"/>
        <v/>
      </c>
      <c r="X829" s="62" t="str">
        <f t="shared" si="101"/>
        <v/>
      </c>
      <c r="Y829" s="45"/>
      <c r="Z829" s="44"/>
      <c r="AA829" s="41"/>
      <c r="AB829" s="39"/>
      <c r="AC829" s="37" t="str">
        <f t="shared" si="102"/>
        <v/>
      </c>
    </row>
    <row r="830" spans="2:29" x14ac:dyDescent="0.25">
      <c r="B830" s="54">
        <v>824</v>
      </c>
      <c r="C830" s="168"/>
      <c r="D830" s="51"/>
      <c r="E830" s="29"/>
      <c r="F830" s="48"/>
      <c r="G830" s="29"/>
      <c r="H830" s="187"/>
      <c r="I830" s="187"/>
      <c r="J830" s="195"/>
      <c r="K830" s="86" t="str">
        <f t="shared" si="96"/>
        <v/>
      </c>
      <c r="L830" s="57" t="str">
        <f t="shared" si="103"/>
        <v/>
      </c>
      <c r="M830" s="186"/>
      <c r="N830" s="189"/>
      <c r="O830" s="190"/>
      <c r="P830" s="190" t="str">
        <f>IF(OR(ISBLANK(V830),COUNTBLANK(V830:$V$1048576)=ROWS(V830:$V$1048576)),"",$R$2*(1+SUM(V$7:V830)))</f>
        <v/>
      </c>
      <c r="Q830" s="191"/>
      <c r="R830" s="189"/>
      <c r="S830" s="53" t="str">
        <f t="shared" si="97"/>
        <v/>
      </c>
      <c r="T830" s="63" t="str">
        <f t="shared" si="98"/>
        <v/>
      </c>
      <c r="U830" s="64" t="str">
        <f>IF(OR(ISBLANK(Trades!R830), ISBLANK(Trades!H830), ISBLANK(Trades!I830)), "", IF(Trades!H830=Trades!I830, "N/A", (Trades!R830-Trades!H830)/(Trades!H830-Trades!I830)))</f>
        <v/>
      </c>
      <c r="V830" s="65" t="str">
        <f t="shared" si="99"/>
        <v/>
      </c>
      <c r="W830" s="66" t="str">
        <f t="shared" si="100"/>
        <v/>
      </c>
      <c r="X830" s="62" t="str">
        <f t="shared" si="101"/>
        <v/>
      </c>
      <c r="Y830" s="45"/>
      <c r="Z830" s="44"/>
      <c r="AA830" s="41"/>
      <c r="AB830" s="39"/>
      <c r="AC830" s="37" t="str">
        <f t="shared" si="102"/>
        <v/>
      </c>
    </row>
    <row r="831" spans="2:29" x14ac:dyDescent="0.25">
      <c r="B831" s="54">
        <v>825</v>
      </c>
      <c r="C831" s="168"/>
      <c r="D831" s="51"/>
      <c r="E831" s="29"/>
      <c r="F831" s="48"/>
      <c r="G831" s="29"/>
      <c r="H831" s="187"/>
      <c r="I831" s="187"/>
      <c r="J831" s="195"/>
      <c r="K831" s="86" t="str">
        <f t="shared" si="96"/>
        <v/>
      </c>
      <c r="L831" s="57" t="str">
        <f t="shared" si="103"/>
        <v/>
      </c>
      <c r="M831" s="186"/>
      <c r="N831" s="189"/>
      <c r="O831" s="190"/>
      <c r="P831" s="190" t="str">
        <f>IF(OR(ISBLANK(V831),COUNTBLANK(V831:$V$1048576)=ROWS(V831:$V$1048576)),"",$R$2*(1+SUM(V$7:V831)))</f>
        <v/>
      </c>
      <c r="Q831" s="191"/>
      <c r="R831" s="189"/>
      <c r="S831" s="53" t="str">
        <f t="shared" si="97"/>
        <v/>
      </c>
      <c r="T831" s="63" t="str">
        <f t="shared" si="98"/>
        <v/>
      </c>
      <c r="U831" s="64" t="str">
        <f>IF(OR(ISBLANK(Trades!R831), ISBLANK(Trades!H831), ISBLANK(Trades!I831)), "", IF(Trades!H831=Trades!I831, "N/A", (Trades!R831-Trades!H831)/(Trades!H831-Trades!I831)))</f>
        <v/>
      </c>
      <c r="V831" s="65" t="str">
        <f t="shared" si="99"/>
        <v/>
      </c>
      <c r="W831" s="66" t="str">
        <f t="shared" si="100"/>
        <v/>
      </c>
      <c r="X831" s="62" t="str">
        <f t="shared" si="101"/>
        <v/>
      </c>
      <c r="Y831" s="45"/>
      <c r="Z831" s="44"/>
      <c r="AA831" s="41"/>
      <c r="AB831" s="39"/>
      <c r="AC831" s="37" t="str">
        <f t="shared" si="102"/>
        <v/>
      </c>
    </row>
    <row r="832" spans="2:29" x14ac:dyDescent="0.25">
      <c r="B832" s="54">
        <v>826</v>
      </c>
      <c r="C832" s="168"/>
      <c r="D832" s="51"/>
      <c r="E832" s="29"/>
      <c r="F832" s="48"/>
      <c r="G832" s="29"/>
      <c r="H832" s="187"/>
      <c r="I832" s="187"/>
      <c r="J832" s="195"/>
      <c r="K832" s="86" t="str">
        <f t="shared" si="96"/>
        <v/>
      </c>
      <c r="L832" s="57" t="str">
        <f t="shared" si="103"/>
        <v/>
      </c>
      <c r="M832" s="186"/>
      <c r="N832" s="189"/>
      <c r="O832" s="190"/>
      <c r="P832" s="190" t="str">
        <f>IF(OR(ISBLANK(V832),COUNTBLANK(V832:$V$1048576)=ROWS(V832:$V$1048576)),"",$R$2*(1+SUM(V$7:V832)))</f>
        <v/>
      </c>
      <c r="Q832" s="191"/>
      <c r="R832" s="189"/>
      <c r="S832" s="53" t="str">
        <f t="shared" si="97"/>
        <v/>
      </c>
      <c r="T832" s="63" t="str">
        <f t="shared" si="98"/>
        <v/>
      </c>
      <c r="U832" s="64" t="str">
        <f>IF(OR(ISBLANK(Trades!R832), ISBLANK(Trades!H832), ISBLANK(Trades!I832)), "", IF(Trades!H832=Trades!I832, "N/A", (Trades!R832-Trades!H832)/(Trades!H832-Trades!I832)))</f>
        <v/>
      </c>
      <c r="V832" s="65" t="str">
        <f t="shared" si="99"/>
        <v/>
      </c>
      <c r="W832" s="66" t="str">
        <f t="shared" si="100"/>
        <v/>
      </c>
      <c r="X832" s="62" t="str">
        <f t="shared" si="101"/>
        <v/>
      </c>
      <c r="Y832" s="45"/>
      <c r="Z832" s="44"/>
      <c r="AA832" s="41"/>
      <c r="AB832" s="39"/>
      <c r="AC832" s="37" t="str">
        <f t="shared" si="102"/>
        <v/>
      </c>
    </row>
    <row r="833" spans="2:29" x14ac:dyDescent="0.25">
      <c r="B833" s="54">
        <v>827</v>
      </c>
      <c r="C833" s="168"/>
      <c r="D833" s="51"/>
      <c r="E833" s="29"/>
      <c r="F833" s="48"/>
      <c r="G833" s="29"/>
      <c r="H833" s="187"/>
      <c r="I833" s="187"/>
      <c r="J833" s="195"/>
      <c r="K833" s="86" t="str">
        <f t="shared" si="96"/>
        <v/>
      </c>
      <c r="L833" s="57" t="str">
        <f t="shared" si="103"/>
        <v/>
      </c>
      <c r="M833" s="186"/>
      <c r="N833" s="189"/>
      <c r="O833" s="190"/>
      <c r="P833" s="190" t="str">
        <f>IF(OR(ISBLANK(V833),COUNTBLANK(V833:$V$1048576)=ROWS(V833:$V$1048576)),"",$R$2*(1+SUM(V$7:V833)))</f>
        <v/>
      </c>
      <c r="Q833" s="191"/>
      <c r="R833" s="189"/>
      <c r="S833" s="53" t="str">
        <f t="shared" si="97"/>
        <v/>
      </c>
      <c r="T833" s="63" t="str">
        <f t="shared" si="98"/>
        <v/>
      </c>
      <c r="U833" s="64" t="str">
        <f>IF(OR(ISBLANK(Trades!R833), ISBLANK(Trades!H833), ISBLANK(Trades!I833)), "", IF(Trades!H833=Trades!I833, "N/A", (Trades!R833-Trades!H833)/(Trades!H833-Trades!I833)))</f>
        <v/>
      </c>
      <c r="V833" s="65" t="str">
        <f t="shared" si="99"/>
        <v/>
      </c>
      <c r="W833" s="66" t="str">
        <f t="shared" si="100"/>
        <v/>
      </c>
      <c r="X833" s="62" t="str">
        <f t="shared" si="101"/>
        <v/>
      </c>
      <c r="Y833" s="45"/>
      <c r="Z833" s="44"/>
      <c r="AA833" s="41"/>
      <c r="AB833" s="39"/>
      <c r="AC833" s="37" t="str">
        <f t="shared" si="102"/>
        <v/>
      </c>
    </row>
    <row r="834" spans="2:29" x14ac:dyDescent="0.25">
      <c r="B834" s="54">
        <v>828</v>
      </c>
      <c r="C834" s="168"/>
      <c r="D834" s="51"/>
      <c r="E834" s="29"/>
      <c r="F834" s="48"/>
      <c r="G834" s="29"/>
      <c r="H834" s="187"/>
      <c r="I834" s="187"/>
      <c r="J834" s="195"/>
      <c r="K834" s="86" t="str">
        <f t="shared" si="96"/>
        <v/>
      </c>
      <c r="L834" s="57" t="str">
        <f t="shared" si="103"/>
        <v/>
      </c>
      <c r="M834" s="186"/>
      <c r="N834" s="189"/>
      <c r="O834" s="190"/>
      <c r="P834" s="190" t="str">
        <f>IF(OR(ISBLANK(V834),COUNTBLANK(V834:$V$1048576)=ROWS(V834:$V$1048576)),"",$R$2*(1+SUM(V$7:V834)))</f>
        <v/>
      </c>
      <c r="Q834" s="191"/>
      <c r="R834" s="189"/>
      <c r="S834" s="53" t="str">
        <f t="shared" si="97"/>
        <v/>
      </c>
      <c r="T834" s="63" t="str">
        <f t="shared" si="98"/>
        <v/>
      </c>
      <c r="U834" s="64" t="str">
        <f>IF(OR(ISBLANK(Trades!R834), ISBLANK(Trades!H834), ISBLANK(Trades!I834)), "", IF(Trades!H834=Trades!I834, "N/A", (Trades!R834-Trades!H834)/(Trades!H834-Trades!I834)))</f>
        <v/>
      </c>
      <c r="V834" s="65" t="str">
        <f t="shared" si="99"/>
        <v/>
      </c>
      <c r="W834" s="66" t="str">
        <f t="shared" si="100"/>
        <v/>
      </c>
      <c r="X834" s="62" t="str">
        <f t="shared" si="101"/>
        <v/>
      </c>
      <c r="Y834" s="45"/>
      <c r="Z834" s="44"/>
      <c r="AA834" s="41"/>
      <c r="AB834" s="39"/>
      <c r="AC834" s="37" t="str">
        <f t="shared" si="102"/>
        <v/>
      </c>
    </row>
    <row r="835" spans="2:29" x14ac:dyDescent="0.25">
      <c r="B835" s="54">
        <v>829</v>
      </c>
      <c r="C835" s="168"/>
      <c r="D835" s="51"/>
      <c r="E835" s="29"/>
      <c r="F835" s="48"/>
      <c r="G835" s="29"/>
      <c r="H835" s="187"/>
      <c r="I835" s="187"/>
      <c r="J835" s="195"/>
      <c r="K835" s="86" t="str">
        <f t="shared" si="96"/>
        <v/>
      </c>
      <c r="L835" s="57" t="str">
        <f t="shared" si="103"/>
        <v/>
      </c>
      <c r="M835" s="186"/>
      <c r="N835" s="189"/>
      <c r="O835" s="190"/>
      <c r="P835" s="190" t="str">
        <f>IF(OR(ISBLANK(V835),COUNTBLANK(V835:$V$1048576)=ROWS(V835:$V$1048576)),"",$R$2*(1+SUM(V$7:V835)))</f>
        <v/>
      </c>
      <c r="Q835" s="191"/>
      <c r="R835" s="189"/>
      <c r="S835" s="53" t="str">
        <f t="shared" si="97"/>
        <v/>
      </c>
      <c r="T835" s="63" t="str">
        <f t="shared" si="98"/>
        <v/>
      </c>
      <c r="U835" s="64" t="str">
        <f>IF(OR(ISBLANK(Trades!R835), ISBLANK(Trades!H835), ISBLANK(Trades!I835)), "", IF(Trades!H835=Trades!I835, "N/A", (Trades!R835-Trades!H835)/(Trades!H835-Trades!I835)))</f>
        <v/>
      </c>
      <c r="V835" s="65" t="str">
        <f t="shared" si="99"/>
        <v/>
      </c>
      <c r="W835" s="66" t="str">
        <f t="shared" si="100"/>
        <v/>
      </c>
      <c r="X835" s="62" t="str">
        <f t="shared" si="101"/>
        <v/>
      </c>
      <c r="Y835" s="45"/>
      <c r="Z835" s="44"/>
      <c r="AA835" s="41"/>
      <c r="AB835" s="39"/>
      <c r="AC835" s="37" t="str">
        <f t="shared" si="102"/>
        <v/>
      </c>
    </row>
    <row r="836" spans="2:29" x14ac:dyDescent="0.25">
      <c r="B836" s="54">
        <v>830</v>
      </c>
      <c r="C836" s="168"/>
      <c r="D836" s="51"/>
      <c r="E836" s="29"/>
      <c r="F836" s="48"/>
      <c r="G836" s="29"/>
      <c r="H836" s="187"/>
      <c r="I836" s="187"/>
      <c r="J836" s="195"/>
      <c r="K836" s="86" t="str">
        <f t="shared" si="96"/>
        <v/>
      </c>
      <c r="L836" s="57" t="str">
        <f t="shared" si="103"/>
        <v/>
      </c>
      <c r="M836" s="186"/>
      <c r="N836" s="189"/>
      <c r="O836" s="190"/>
      <c r="P836" s="190" t="str">
        <f>IF(OR(ISBLANK(V836),COUNTBLANK(V836:$V$1048576)=ROWS(V836:$V$1048576)),"",$R$2*(1+SUM(V$7:V836)))</f>
        <v/>
      </c>
      <c r="Q836" s="191"/>
      <c r="R836" s="189"/>
      <c r="S836" s="53" t="str">
        <f t="shared" si="97"/>
        <v/>
      </c>
      <c r="T836" s="63" t="str">
        <f t="shared" si="98"/>
        <v/>
      </c>
      <c r="U836" s="64" t="str">
        <f>IF(OR(ISBLANK(Trades!R836), ISBLANK(Trades!H836), ISBLANK(Trades!I836)), "", IF(Trades!H836=Trades!I836, "N/A", (Trades!R836-Trades!H836)/(Trades!H836-Trades!I836)))</f>
        <v/>
      </c>
      <c r="V836" s="65" t="str">
        <f t="shared" si="99"/>
        <v/>
      </c>
      <c r="W836" s="66" t="str">
        <f t="shared" si="100"/>
        <v/>
      </c>
      <c r="X836" s="62" t="str">
        <f t="shared" si="101"/>
        <v/>
      </c>
      <c r="Y836" s="45"/>
      <c r="Z836" s="44"/>
      <c r="AA836" s="41"/>
      <c r="AB836" s="39"/>
      <c r="AC836" s="37" t="str">
        <f t="shared" si="102"/>
        <v/>
      </c>
    </row>
    <row r="837" spans="2:29" x14ac:dyDescent="0.25">
      <c r="B837" s="54">
        <v>831</v>
      </c>
      <c r="C837" s="168"/>
      <c r="D837" s="51"/>
      <c r="E837" s="29"/>
      <c r="F837" s="48"/>
      <c r="G837" s="29"/>
      <c r="H837" s="187"/>
      <c r="I837" s="187"/>
      <c r="J837" s="195"/>
      <c r="K837" s="86" t="str">
        <f t="shared" si="96"/>
        <v/>
      </c>
      <c r="L837" s="57" t="str">
        <f t="shared" si="103"/>
        <v/>
      </c>
      <c r="M837" s="186"/>
      <c r="N837" s="189"/>
      <c r="O837" s="190"/>
      <c r="P837" s="190" t="str">
        <f>IF(OR(ISBLANK(V837),COUNTBLANK(V837:$V$1048576)=ROWS(V837:$V$1048576)),"",$R$2*(1+SUM(V$7:V837)))</f>
        <v/>
      </c>
      <c r="Q837" s="191"/>
      <c r="R837" s="189"/>
      <c r="S837" s="53" t="str">
        <f t="shared" si="97"/>
        <v/>
      </c>
      <c r="T837" s="63" t="str">
        <f t="shared" si="98"/>
        <v/>
      </c>
      <c r="U837" s="64" t="str">
        <f>IF(OR(ISBLANK(Trades!R837), ISBLANK(Trades!H837), ISBLANK(Trades!I837)), "", IF(Trades!H837=Trades!I837, "N/A", (Trades!R837-Trades!H837)/(Trades!H837-Trades!I837)))</f>
        <v/>
      </c>
      <c r="V837" s="65" t="str">
        <f t="shared" si="99"/>
        <v/>
      </c>
      <c r="W837" s="66" t="str">
        <f t="shared" si="100"/>
        <v/>
      </c>
      <c r="X837" s="62" t="str">
        <f t="shared" si="101"/>
        <v/>
      </c>
      <c r="Y837" s="45"/>
      <c r="Z837" s="44"/>
      <c r="AA837" s="41"/>
      <c r="AB837" s="39"/>
      <c r="AC837" s="37" t="str">
        <f t="shared" si="102"/>
        <v/>
      </c>
    </row>
    <row r="838" spans="2:29" x14ac:dyDescent="0.25">
      <c r="B838" s="54">
        <v>832</v>
      </c>
      <c r="C838" s="168"/>
      <c r="D838" s="51"/>
      <c r="E838" s="29"/>
      <c r="F838" s="48"/>
      <c r="G838" s="29"/>
      <c r="H838" s="187"/>
      <c r="I838" s="187"/>
      <c r="J838" s="195"/>
      <c r="K838" s="86" t="str">
        <f t="shared" si="96"/>
        <v/>
      </c>
      <c r="L838" s="57" t="str">
        <f t="shared" si="103"/>
        <v/>
      </c>
      <c r="M838" s="186"/>
      <c r="N838" s="189"/>
      <c r="O838" s="190"/>
      <c r="P838" s="190" t="str">
        <f>IF(OR(ISBLANK(V838),COUNTBLANK(V838:$V$1048576)=ROWS(V838:$V$1048576)),"",$R$2*(1+SUM(V$7:V838)))</f>
        <v/>
      </c>
      <c r="Q838" s="191"/>
      <c r="R838" s="189"/>
      <c r="S838" s="53" t="str">
        <f t="shared" si="97"/>
        <v/>
      </c>
      <c r="T838" s="63" t="str">
        <f t="shared" si="98"/>
        <v/>
      </c>
      <c r="U838" s="64" t="str">
        <f>IF(OR(ISBLANK(Trades!R838), ISBLANK(Trades!H838), ISBLANK(Trades!I838)), "", IF(Trades!H838=Trades!I838, "N/A", (Trades!R838-Trades!H838)/(Trades!H838-Trades!I838)))</f>
        <v/>
      </c>
      <c r="V838" s="65" t="str">
        <f t="shared" si="99"/>
        <v/>
      </c>
      <c r="W838" s="66" t="str">
        <f t="shared" si="100"/>
        <v/>
      </c>
      <c r="X838" s="62" t="str">
        <f t="shared" si="101"/>
        <v/>
      </c>
      <c r="Y838" s="45"/>
      <c r="Z838" s="44"/>
      <c r="AA838" s="41"/>
      <c r="AB838" s="39"/>
      <c r="AC838" s="37" t="str">
        <f t="shared" si="102"/>
        <v/>
      </c>
    </row>
    <row r="839" spans="2:29" x14ac:dyDescent="0.25">
      <c r="B839" s="54">
        <v>833</v>
      </c>
      <c r="C839" s="168"/>
      <c r="D839" s="51"/>
      <c r="E839" s="29"/>
      <c r="F839" s="48"/>
      <c r="G839" s="29"/>
      <c r="H839" s="187"/>
      <c r="I839" s="187"/>
      <c r="J839" s="195"/>
      <c r="K839" s="86" t="str">
        <f t="shared" ref="K839:K902" si="104">IF(OR(ISBLANK(H839),ISBLANK(I839)),"",IF(H839 &lt; I839, "SHORT", IF(H839 &gt; I839, "LONG", "")))</f>
        <v/>
      </c>
      <c r="L839" s="57" t="str">
        <f t="shared" si="103"/>
        <v/>
      </c>
      <c r="M839" s="186"/>
      <c r="N839" s="189"/>
      <c r="O839" s="190"/>
      <c r="P839" s="190" t="str">
        <f>IF(OR(ISBLANK(V839),COUNTBLANK(V839:$V$1048576)=ROWS(V839:$V$1048576)),"",$R$2*(1+SUM(V$7:V839)))</f>
        <v/>
      </c>
      <c r="Q839" s="191"/>
      <c r="R839" s="189"/>
      <c r="S839" s="53" t="str">
        <f t="shared" ref="S839:S902" si="105">IF(COUNTIFS($C$7:$C$1000, "&lt;="&amp;C839, $X$7:$X$1000, "Win") = 0, "", IF(COUNTIFS($C$7:$C$1000, "&lt;="&amp;C839, $X$7:$X$1000, "&lt;&gt;"&amp;"") = 0, "", COUNTIFS($C$7:$C$1000, "&lt;="&amp;C839, $X$7:$X$1000, "Win")/COUNTIFS($C$7:$C$1000, "&lt;="&amp;C839, $X$7:$X$1000, "&lt;&gt;"&amp;"")))</f>
        <v/>
      </c>
      <c r="T839" s="63" t="str">
        <f t="shared" ref="T839:T902" si="106">IF(ISBLANK(R839),IF(ISBLANK(H839),"","Open"),"Closed")</f>
        <v/>
      </c>
      <c r="U839" s="64" t="str">
        <f>IF(OR(ISBLANK(Trades!R839), ISBLANK(Trades!H839), ISBLANK(Trades!I839)), "", IF(Trades!H839=Trades!I839, "N/A", (Trades!R839-Trades!H839)/(Trades!H839-Trades!I839)))</f>
        <v/>
      </c>
      <c r="V839" s="65" t="str">
        <f t="shared" ref="V839:V902" si="107">IF(U839="","",U839*F839)</f>
        <v/>
      </c>
      <c r="W839" s="66" t="str">
        <f t="shared" ref="W839:W902" si="108">IF(ISBLANK(R839),"",IF(H839&gt;I839,IF(I839&gt;=R839,"SL Hit",IF(O839&lt;&gt;"","PT3 Hit",IF(N839&lt;&gt;"","PT2 Hit",IF(M839&lt;&gt;"","PT1 Hit","")))),IF(I839&lt;=R839,"SL Hit",IF(O839&lt;&gt;"","PT3 Hit",IF(N839&lt;&gt;"","PT2 Hit",IF(M839&lt;&gt;"","PT1 Hit",""))))))</f>
        <v/>
      </c>
      <c r="X839" s="62" t="str">
        <f t="shared" ref="X839:X902" si="109">IF(ISBLANK(R839),"",IF(H839&gt;I839, IF(R839&gt;=H839, "Win", "Loss"), IF(R839&lt;=H839, "Win", "Loss")))</f>
        <v/>
      </c>
      <c r="Y839" s="45"/>
      <c r="Z839" s="44"/>
      <c r="AA839" s="41"/>
      <c r="AB839" s="39"/>
      <c r="AC839" s="37" t="str">
        <f t="shared" ref="AC839:AC902" si="110">IFERROR(COUNTIFS($C$7:$C$1000,"&gt;="&amp;DATE(YEAR(C839),MONTH(C839),1),$C$7:$C$1000,"&lt;="&amp;EOMONTH(C839,0),$X$7:$X$1000,"Win")/COUNTIFS($C$7:$C$1000,"&gt;="&amp;DATE(YEAR(C839),MONTH(C839),1),$C$7:$C$1000,"&lt;="&amp;EOMONTH(C839,0)),"")</f>
        <v/>
      </c>
    </row>
    <row r="840" spans="2:29" x14ac:dyDescent="0.25">
      <c r="B840" s="54">
        <v>834</v>
      </c>
      <c r="C840" s="168"/>
      <c r="D840" s="51"/>
      <c r="E840" s="29"/>
      <c r="F840" s="48"/>
      <c r="G840" s="29"/>
      <c r="H840" s="187"/>
      <c r="I840" s="187"/>
      <c r="J840" s="195"/>
      <c r="K840" s="86" t="str">
        <f t="shared" si="104"/>
        <v/>
      </c>
      <c r="L840" s="57" t="str">
        <f t="shared" si="103"/>
        <v/>
      </c>
      <c r="M840" s="186"/>
      <c r="N840" s="189"/>
      <c r="O840" s="190"/>
      <c r="P840" s="190" t="str">
        <f>IF(OR(ISBLANK(V840),COUNTBLANK(V840:$V$1048576)=ROWS(V840:$V$1048576)),"",$R$2*(1+SUM(V$7:V840)))</f>
        <v/>
      </c>
      <c r="Q840" s="191"/>
      <c r="R840" s="189"/>
      <c r="S840" s="53" t="str">
        <f t="shared" si="105"/>
        <v/>
      </c>
      <c r="T840" s="63" t="str">
        <f t="shared" si="106"/>
        <v/>
      </c>
      <c r="U840" s="64" t="str">
        <f>IF(OR(ISBLANK(Trades!R840), ISBLANK(Trades!H840), ISBLANK(Trades!I840)), "", IF(Trades!H840=Trades!I840, "N/A", (Trades!R840-Trades!H840)/(Trades!H840-Trades!I840)))</f>
        <v/>
      </c>
      <c r="V840" s="65" t="str">
        <f t="shared" si="107"/>
        <v/>
      </c>
      <c r="W840" s="66" t="str">
        <f t="shared" si="108"/>
        <v/>
      </c>
      <c r="X840" s="62" t="str">
        <f t="shared" si="109"/>
        <v/>
      </c>
      <c r="Y840" s="45"/>
      <c r="Z840" s="44"/>
      <c r="AA840" s="41"/>
      <c r="AB840" s="39"/>
      <c r="AC840" s="37" t="str">
        <f t="shared" si="110"/>
        <v/>
      </c>
    </row>
    <row r="841" spans="2:29" x14ac:dyDescent="0.25">
      <c r="B841" s="54">
        <v>835</v>
      </c>
      <c r="C841" s="168"/>
      <c r="D841" s="51"/>
      <c r="E841" s="29"/>
      <c r="F841" s="48"/>
      <c r="G841" s="29"/>
      <c r="H841" s="187"/>
      <c r="I841" s="187"/>
      <c r="J841" s="195"/>
      <c r="K841" s="86" t="str">
        <f t="shared" si="104"/>
        <v/>
      </c>
      <c r="L841" s="57" t="str">
        <f t="shared" si="103"/>
        <v/>
      </c>
      <c r="M841" s="186"/>
      <c r="N841" s="189"/>
      <c r="O841" s="190"/>
      <c r="P841" s="190" t="str">
        <f>IF(OR(ISBLANK(V841),COUNTBLANK(V841:$V$1048576)=ROWS(V841:$V$1048576)),"",$R$2*(1+SUM(V$7:V841)))</f>
        <v/>
      </c>
      <c r="Q841" s="191"/>
      <c r="R841" s="189"/>
      <c r="S841" s="53" t="str">
        <f t="shared" si="105"/>
        <v/>
      </c>
      <c r="T841" s="63" t="str">
        <f t="shared" si="106"/>
        <v/>
      </c>
      <c r="U841" s="64" t="str">
        <f>IF(OR(ISBLANK(Trades!R841), ISBLANK(Trades!H841), ISBLANK(Trades!I841)), "", IF(Trades!H841=Trades!I841, "N/A", (Trades!R841-Trades!H841)/(Trades!H841-Trades!I841)))</f>
        <v/>
      </c>
      <c r="V841" s="65" t="str">
        <f t="shared" si="107"/>
        <v/>
      </c>
      <c r="W841" s="66" t="str">
        <f t="shared" si="108"/>
        <v/>
      </c>
      <c r="X841" s="62" t="str">
        <f t="shared" si="109"/>
        <v/>
      </c>
      <c r="Y841" s="45"/>
      <c r="Z841" s="44"/>
      <c r="AA841" s="41"/>
      <c r="AB841" s="39"/>
      <c r="AC841" s="37" t="str">
        <f t="shared" si="110"/>
        <v/>
      </c>
    </row>
    <row r="842" spans="2:29" x14ac:dyDescent="0.25">
      <c r="B842" s="54">
        <v>836</v>
      </c>
      <c r="C842" s="168"/>
      <c r="D842" s="51"/>
      <c r="E842" s="29"/>
      <c r="F842" s="48"/>
      <c r="G842" s="29"/>
      <c r="H842" s="187"/>
      <c r="I842" s="187"/>
      <c r="J842" s="195"/>
      <c r="K842" s="86" t="str">
        <f t="shared" si="104"/>
        <v/>
      </c>
      <c r="L842" s="57" t="str">
        <f t="shared" si="103"/>
        <v/>
      </c>
      <c r="M842" s="186"/>
      <c r="N842" s="189"/>
      <c r="O842" s="190"/>
      <c r="P842" s="190" t="str">
        <f>IF(OR(ISBLANK(V842),COUNTBLANK(V842:$V$1048576)=ROWS(V842:$V$1048576)),"",$R$2*(1+SUM(V$7:V842)))</f>
        <v/>
      </c>
      <c r="Q842" s="191"/>
      <c r="R842" s="189"/>
      <c r="S842" s="53" t="str">
        <f t="shared" si="105"/>
        <v/>
      </c>
      <c r="T842" s="63" t="str">
        <f t="shared" si="106"/>
        <v/>
      </c>
      <c r="U842" s="64" t="str">
        <f>IF(OR(ISBLANK(Trades!R842), ISBLANK(Trades!H842), ISBLANK(Trades!I842)), "", IF(Trades!H842=Trades!I842, "N/A", (Trades!R842-Trades!H842)/(Trades!H842-Trades!I842)))</f>
        <v/>
      </c>
      <c r="V842" s="65" t="str">
        <f t="shared" si="107"/>
        <v/>
      </c>
      <c r="W842" s="66" t="str">
        <f t="shared" si="108"/>
        <v/>
      </c>
      <c r="X842" s="62" t="str">
        <f t="shared" si="109"/>
        <v/>
      </c>
      <c r="Y842" s="45"/>
      <c r="Z842" s="44"/>
      <c r="AA842" s="41"/>
      <c r="AB842" s="39"/>
      <c r="AC842" s="37" t="str">
        <f t="shared" si="110"/>
        <v/>
      </c>
    </row>
    <row r="843" spans="2:29" x14ac:dyDescent="0.25">
      <c r="B843" s="54">
        <v>837</v>
      </c>
      <c r="C843" s="168"/>
      <c r="D843" s="51"/>
      <c r="E843" s="29"/>
      <c r="F843" s="48"/>
      <c r="G843" s="29"/>
      <c r="H843" s="187"/>
      <c r="I843" s="187"/>
      <c r="J843" s="195"/>
      <c r="K843" s="86" t="str">
        <f t="shared" si="104"/>
        <v/>
      </c>
      <c r="L843" s="57" t="str">
        <f t="shared" si="103"/>
        <v/>
      </c>
      <c r="M843" s="186"/>
      <c r="N843" s="189"/>
      <c r="O843" s="190"/>
      <c r="P843" s="190" t="str">
        <f>IF(OR(ISBLANK(V843),COUNTBLANK(V843:$V$1048576)=ROWS(V843:$V$1048576)),"",$R$2*(1+SUM(V$7:V843)))</f>
        <v/>
      </c>
      <c r="Q843" s="191"/>
      <c r="R843" s="189"/>
      <c r="S843" s="53" t="str">
        <f t="shared" si="105"/>
        <v/>
      </c>
      <c r="T843" s="63" t="str">
        <f t="shared" si="106"/>
        <v/>
      </c>
      <c r="U843" s="64" t="str">
        <f>IF(OR(ISBLANK(Trades!R843), ISBLANK(Trades!H843), ISBLANK(Trades!I843)), "", IF(Trades!H843=Trades!I843, "N/A", (Trades!R843-Trades!H843)/(Trades!H843-Trades!I843)))</f>
        <v/>
      </c>
      <c r="V843" s="65" t="str">
        <f t="shared" si="107"/>
        <v/>
      </c>
      <c r="W843" s="66" t="str">
        <f t="shared" si="108"/>
        <v/>
      </c>
      <c r="X843" s="62" t="str">
        <f t="shared" si="109"/>
        <v/>
      </c>
      <c r="Y843" s="45"/>
      <c r="Z843" s="44"/>
      <c r="AA843" s="41"/>
      <c r="AB843" s="39"/>
      <c r="AC843" s="37" t="str">
        <f t="shared" si="110"/>
        <v/>
      </c>
    </row>
    <row r="844" spans="2:29" x14ac:dyDescent="0.25">
      <c r="B844" s="54">
        <v>838</v>
      </c>
      <c r="C844" s="168"/>
      <c r="D844" s="51"/>
      <c r="E844" s="29"/>
      <c r="F844" s="48"/>
      <c r="G844" s="29"/>
      <c r="H844" s="187"/>
      <c r="I844" s="187"/>
      <c r="J844" s="195"/>
      <c r="K844" s="86" t="str">
        <f t="shared" si="104"/>
        <v/>
      </c>
      <c r="L844" s="57" t="str">
        <f t="shared" ref="L844:L907" si="111">IF(OR(ISBLANK(J844),ISBLANK(H844),ISBLANK(I844)),"",ABS(J844-H844)/ABS(H844-I844))</f>
        <v/>
      </c>
      <c r="M844" s="186"/>
      <c r="N844" s="189"/>
      <c r="O844" s="190"/>
      <c r="P844" s="190" t="str">
        <f>IF(OR(ISBLANK(V844),COUNTBLANK(V844:$V$1048576)=ROWS(V844:$V$1048576)),"",$R$2*(1+SUM(V$7:V844)))</f>
        <v/>
      </c>
      <c r="Q844" s="191"/>
      <c r="R844" s="189"/>
      <c r="S844" s="53" t="str">
        <f t="shared" si="105"/>
        <v/>
      </c>
      <c r="T844" s="63" t="str">
        <f t="shared" si="106"/>
        <v/>
      </c>
      <c r="U844" s="64" t="str">
        <f>IF(OR(ISBLANK(Trades!R844), ISBLANK(Trades!H844), ISBLANK(Trades!I844)), "", IF(Trades!H844=Trades!I844, "N/A", (Trades!R844-Trades!H844)/(Trades!H844-Trades!I844)))</f>
        <v/>
      </c>
      <c r="V844" s="65" t="str">
        <f t="shared" si="107"/>
        <v/>
      </c>
      <c r="W844" s="66" t="str">
        <f t="shared" si="108"/>
        <v/>
      </c>
      <c r="X844" s="62" t="str">
        <f t="shared" si="109"/>
        <v/>
      </c>
      <c r="Y844" s="45"/>
      <c r="Z844" s="44"/>
      <c r="AA844" s="41"/>
      <c r="AB844" s="39"/>
      <c r="AC844" s="37" t="str">
        <f t="shared" si="110"/>
        <v/>
      </c>
    </row>
    <row r="845" spans="2:29" x14ac:dyDescent="0.25">
      <c r="B845" s="54">
        <v>839</v>
      </c>
      <c r="C845" s="168"/>
      <c r="D845" s="51"/>
      <c r="E845" s="29"/>
      <c r="F845" s="48"/>
      <c r="G845" s="29"/>
      <c r="H845" s="187"/>
      <c r="I845" s="187"/>
      <c r="J845" s="195"/>
      <c r="K845" s="86" t="str">
        <f t="shared" si="104"/>
        <v/>
      </c>
      <c r="L845" s="57" t="str">
        <f t="shared" si="111"/>
        <v/>
      </c>
      <c r="M845" s="186"/>
      <c r="N845" s="189"/>
      <c r="O845" s="190"/>
      <c r="P845" s="190" t="str">
        <f>IF(OR(ISBLANK(V845),COUNTBLANK(V845:$V$1048576)=ROWS(V845:$V$1048576)),"",$R$2*(1+SUM(V$7:V845)))</f>
        <v/>
      </c>
      <c r="Q845" s="191"/>
      <c r="R845" s="189"/>
      <c r="S845" s="53" t="str">
        <f t="shared" si="105"/>
        <v/>
      </c>
      <c r="T845" s="63" t="str">
        <f t="shared" si="106"/>
        <v/>
      </c>
      <c r="U845" s="64" t="str">
        <f>IF(OR(ISBLANK(Trades!R845), ISBLANK(Trades!H845), ISBLANK(Trades!I845)), "", IF(Trades!H845=Trades!I845, "N/A", (Trades!R845-Trades!H845)/(Trades!H845-Trades!I845)))</f>
        <v/>
      </c>
      <c r="V845" s="65" t="str">
        <f t="shared" si="107"/>
        <v/>
      </c>
      <c r="W845" s="66" t="str">
        <f t="shared" si="108"/>
        <v/>
      </c>
      <c r="X845" s="62" t="str">
        <f t="shared" si="109"/>
        <v/>
      </c>
      <c r="Y845" s="45"/>
      <c r="Z845" s="44"/>
      <c r="AA845" s="41"/>
      <c r="AB845" s="39"/>
      <c r="AC845" s="37" t="str">
        <f t="shared" si="110"/>
        <v/>
      </c>
    </row>
    <row r="846" spans="2:29" x14ac:dyDescent="0.25">
      <c r="B846" s="54">
        <v>840</v>
      </c>
      <c r="C846" s="168"/>
      <c r="D846" s="51"/>
      <c r="E846" s="29"/>
      <c r="F846" s="48"/>
      <c r="G846" s="29"/>
      <c r="H846" s="187"/>
      <c r="I846" s="187"/>
      <c r="J846" s="195"/>
      <c r="K846" s="86" t="str">
        <f t="shared" si="104"/>
        <v/>
      </c>
      <c r="L846" s="57" t="str">
        <f t="shared" si="111"/>
        <v/>
      </c>
      <c r="M846" s="186"/>
      <c r="N846" s="189"/>
      <c r="O846" s="190"/>
      <c r="P846" s="190" t="str">
        <f>IF(OR(ISBLANK(V846),COUNTBLANK(V846:$V$1048576)=ROWS(V846:$V$1048576)),"",$R$2*(1+SUM(V$7:V846)))</f>
        <v/>
      </c>
      <c r="Q846" s="191"/>
      <c r="R846" s="189"/>
      <c r="S846" s="53" t="str">
        <f t="shared" si="105"/>
        <v/>
      </c>
      <c r="T846" s="63" t="str">
        <f t="shared" si="106"/>
        <v/>
      </c>
      <c r="U846" s="64" t="str">
        <f>IF(OR(ISBLANK(Trades!R846), ISBLANK(Trades!H846), ISBLANK(Trades!I846)), "", IF(Trades!H846=Trades!I846, "N/A", (Trades!R846-Trades!H846)/(Trades!H846-Trades!I846)))</f>
        <v/>
      </c>
      <c r="V846" s="65" t="str">
        <f t="shared" si="107"/>
        <v/>
      </c>
      <c r="W846" s="66" t="str">
        <f t="shared" si="108"/>
        <v/>
      </c>
      <c r="X846" s="62" t="str">
        <f t="shared" si="109"/>
        <v/>
      </c>
      <c r="Y846" s="45"/>
      <c r="Z846" s="44"/>
      <c r="AA846" s="41"/>
      <c r="AB846" s="39"/>
      <c r="AC846" s="37" t="str">
        <f t="shared" si="110"/>
        <v/>
      </c>
    </row>
    <row r="847" spans="2:29" x14ac:dyDescent="0.25">
      <c r="B847" s="54">
        <v>841</v>
      </c>
      <c r="C847" s="168"/>
      <c r="D847" s="51"/>
      <c r="E847" s="29"/>
      <c r="F847" s="48"/>
      <c r="G847" s="29"/>
      <c r="H847" s="187"/>
      <c r="I847" s="187"/>
      <c r="J847" s="195"/>
      <c r="K847" s="86" t="str">
        <f t="shared" si="104"/>
        <v/>
      </c>
      <c r="L847" s="57" t="str">
        <f t="shared" si="111"/>
        <v/>
      </c>
      <c r="M847" s="186"/>
      <c r="N847" s="189"/>
      <c r="O847" s="190"/>
      <c r="P847" s="190" t="str">
        <f>IF(OR(ISBLANK(V847),COUNTBLANK(V847:$V$1048576)=ROWS(V847:$V$1048576)),"",$R$2*(1+SUM(V$7:V847)))</f>
        <v/>
      </c>
      <c r="Q847" s="191"/>
      <c r="R847" s="189"/>
      <c r="S847" s="53" t="str">
        <f t="shared" si="105"/>
        <v/>
      </c>
      <c r="T847" s="63" t="str">
        <f t="shared" si="106"/>
        <v/>
      </c>
      <c r="U847" s="64" t="str">
        <f>IF(OR(ISBLANK(Trades!R847), ISBLANK(Trades!H847), ISBLANK(Trades!I847)), "", IF(Trades!H847=Trades!I847, "N/A", (Trades!R847-Trades!H847)/(Trades!H847-Trades!I847)))</f>
        <v/>
      </c>
      <c r="V847" s="65" t="str">
        <f t="shared" si="107"/>
        <v/>
      </c>
      <c r="W847" s="66" t="str">
        <f t="shared" si="108"/>
        <v/>
      </c>
      <c r="X847" s="62" t="str">
        <f t="shared" si="109"/>
        <v/>
      </c>
      <c r="Y847" s="45"/>
      <c r="Z847" s="44"/>
      <c r="AA847" s="41"/>
      <c r="AB847" s="39"/>
      <c r="AC847" s="37" t="str">
        <f t="shared" si="110"/>
        <v/>
      </c>
    </row>
    <row r="848" spans="2:29" x14ac:dyDescent="0.25">
      <c r="B848" s="54">
        <v>842</v>
      </c>
      <c r="C848" s="168"/>
      <c r="D848" s="51"/>
      <c r="E848" s="29"/>
      <c r="F848" s="48"/>
      <c r="G848" s="29"/>
      <c r="H848" s="187"/>
      <c r="I848" s="187"/>
      <c r="J848" s="195"/>
      <c r="K848" s="86" t="str">
        <f t="shared" si="104"/>
        <v/>
      </c>
      <c r="L848" s="57" t="str">
        <f t="shared" si="111"/>
        <v/>
      </c>
      <c r="M848" s="186"/>
      <c r="N848" s="189"/>
      <c r="O848" s="190"/>
      <c r="P848" s="190" t="str">
        <f>IF(OR(ISBLANK(V848),COUNTBLANK(V848:$V$1048576)=ROWS(V848:$V$1048576)),"",$R$2*(1+SUM(V$7:V848)))</f>
        <v/>
      </c>
      <c r="Q848" s="191"/>
      <c r="R848" s="189"/>
      <c r="S848" s="53" t="str">
        <f t="shared" si="105"/>
        <v/>
      </c>
      <c r="T848" s="63" t="str">
        <f t="shared" si="106"/>
        <v/>
      </c>
      <c r="U848" s="64" t="str">
        <f>IF(OR(ISBLANK(Trades!R848), ISBLANK(Trades!H848), ISBLANK(Trades!I848)), "", IF(Trades!H848=Trades!I848, "N/A", (Trades!R848-Trades!H848)/(Trades!H848-Trades!I848)))</f>
        <v/>
      </c>
      <c r="V848" s="65" t="str">
        <f t="shared" si="107"/>
        <v/>
      </c>
      <c r="W848" s="66" t="str">
        <f t="shared" si="108"/>
        <v/>
      </c>
      <c r="X848" s="62" t="str">
        <f t="shared" si="109"/>
        <v/>
      </c>
      <c r="Y848" s="45"/>
      <c r="Z848" s="44"/>
      <c r="AA848" s="41"/>
      <c r="AB848" s="39"/>
      <c r="AC848" s="37" t="str">
        <f t="shared" si="110"/>
        <v/>
      </c>
    </row>
    <row r="849" spans="2:29" x14ac:dyDescent="0.25">
      <c r="B849" s="54">
        <v>843</v>
      </c>
      <c r="C849" s="168"/>
      <c r="D849" s="51"/>
      <c r="E849" s="29"/>
      <c r="F849" s="48"/>
      <c r="G849" s="29"/>
      <c r="H849" s="187"/>
      <c r="I849" s="187"/>
      <c r="J849" s="195"/>
      <c r="K849" s="86" t="str">
        <f t="shared" si="104"/>
        <v/>
      </c>
      <c r="L849" s="57" t="str">
        <f t="shared" si="111"/>
        <v/>
      </c>
      <c r="M849" s="186"/>
      <c r="N849" s="189"/>
      <c r="O849" s="190"/>
      <c r="P849" s="190" t="str">
        <f>IF(OR(ISBLANK(V849),COUNTBLANK(V849:$V$1048576)=ROWS(V849:$V$1048576)),"",$R$2*(1+SUM(V$7:V849)))</f>
        <v/>
      </c>
      <c r="Q849" s="191"/>
      <c r="R849" s="189"/>
      <c r="S849" s="53" t="str">
        <f t="shared" si="105"/>
        <v/>
      </c>
      <c r="T849" s="63" t="str">
        <f t="shared" si="106"/>
        <v/>
      </c>
      <c r="U849" s="64" t="str">
        <f>IF(OR(ISBLANK(Trades!R849), ISBLANK(Trades!H849), ISBLANK(Trades!I849)), "", IF(Trades!H849=Trades!I849, "N/A", (Trades!R849-Trades!H849)/(Trades!H849-Trades!I849)))</f>
        <v/>
      </c>
      <c r="V849" s="65" t="str">
        <f t="shared" si="107"/>
        <v/>
      </c>
      <c r="W849" s="66" t="str">
        <f t="shared" si="108"/>
        <v/>
      </c>
      <c r="X849" s="62" t="str">
        <f t="shared" si="109"/>
        <v/>
      </c>
      <c r="Y849" s="45"/>
      <c r="Z849" s="44"/>
      <c r="AA849" s="41"/>
      <c r="AB849" s="39"/>
      <c r="AC849" s="37" t="str">
        <f t="shared" si="110"/>
        <v/>
      </c>
    </row>
    <row r="850" spans="2:29" x14ac:dyDescent="0.25">
      <c r="B850" s="54">
        <v>844</v>
      </c>
      <c r="C850" s="168"/>
      <c r="D850" s="51"/>
      <c r="E850" s="29"/>
      <c r="F850" s="48"/>
      <c r="G850" s="29"/>
      <c r="H850" s="187"/>
      <c r="I850" s="187"/>
      <c r="J850" s="195"/>
      <c r="K850" s="86" t="str">
        <f t="shared" si="104"/>
        <v/>
      </c>
      <c r="L850" s="57" t="str">
        <f t="shared" si="111"/>
        <v/>
      </c>
      <c r="M850" s="186"/>
      <c r="N850" s="189"/>
      <c r="O850" s="190"/>
      <c r="P850" s="190" t="str">
        <f>IF(OR(ISBLANK(V850),COUNTBLANK(V850:$V$1048576)=ROWS(V850:$V$1048576)),"",$R$2*(1+SUM(V$7:V850)))</f>
        <v/>
      </c>
      <c r="Q850" s="191"/>
      <c r="R850" s="189"/>
      <c r="S850" s="53" t="str">
        <f t="shared" si="105"/>
        <v/>
      </c>
      <c r="T850" s="63" t="str">
        <f t="shared" si="106"/>
        <v/>
      </c>
      <c r="U850" s="64" t="str">
        <f>IF(OR(ISBLANK(Trades!R850), ISBLANK(Trades!H850), ISBLANK(Trades!I850)), "", IF(Trades!H850=Trades!I850, "N/A", (Trades!R850-Trades!H850)/(Trades!H850-Trades!I850)))</f>
        <v/>
      </c>
      <c r="V850" s="65" t="str">
        <f t="shared" si="107"/>
        <v/>
      </c>
      <c r="W850" s="66" t="str">
        <f t="shared" si="108"/>
        <v/>
      </c>
      <c r="X850" s="62" t="str">
        <f t="shared" si="109"/>
        <v/>
      </c>
      <c r="Y850" s="45"/>
      <c r="Z850" s="44"/>
      <c r="AA850" s="41"/>
      <c r="AB850" s="39"/>
      <c r="AC850" s="37" t="str">
        <f t="shared" si="110"/>
        <v/>
      </c>
    </row>
    <row r="851" spans="2:29" x14ac:dyDescent="0.25">
      <c r="B851" s="54">
        <v>845</v>
      </c>
      <c r="C851" s="168"/>
      <c r="D851" s="51"/>
      <c r="E851" s="29"/>
      <c r="F851" s="48"/>
      <c r="G851" s="29"/>
      <c r="H851" s="187"/>
      <c r="I851" s="187"/>
      <c r="J851" s="195"/>
      <c r="K851" s="86" t="str">
        <f t="shared" si="104"/>
        <v/>
      </c>
      <c r="L851" s="57" t="str">
        <f t="shared" si="111"/>
        <v/>
      </c>
      <c r="M851" s="186"/>
      <c r="N851" s="189"/>
      <c r="O851" s="190"/>
      <c r="P851" s="190" t="str">
        <f>IF(OR(ISBLANK(V851),COUNTBLANK(V851:$V$1048576)=ROWS(V851:$V$1048576)),"",$R$2*(1+SUM(V$7:V851)))</f>
        <v/>
      </c>
      <c r="Q851" s="191"/>
      <c r="R851" s="189"/>
      <c r="S851" s="53" t="str">
        <f t="shared" si="105"/>
        <v/>
      </c>
      <c r="T851" s="63" t="str">
        <f t="shared" si="106"/>
        <v/>
      </c>
      <c r="U851" s="64" t="str">
        <f>IF(OR(ISBLANK(Trades!R851), ISBLANK(Trades!H851), ISBLANK(Trades!I851)), "", IF(Trades!H851=Trades!I851, "N/A", (Trades!R851-Trades!H851)/(Trades!H851-Trades!I851)))</f>
        <v/>
      </c>
      <c r="V851" s="65" t="str">
        <f t="shared" si="107"/>
        <v/>
      </c>
      <c r="W851" s="66" t="str">
        <f t="shared" si="108"/>
        <v/>
      </c>
      <c r="X851" s="62" t="str">
        <f t="shared" si="109"/>
        <v/>
      </c>
      <c r="Y851" s="45"/>
      <c r="Z851" s="44"/>
      <c r="AA851" s="41"/>
      <c r="AB851" s="39"/>
      <c r="AC851" s="37" t="str">
        <f t="shared" si="110"/>
        <v/>
      </c>
    </row>
    <row r="852" spans="2:29" x14ac:dyDescent="0.25">
      <c r="B852" s="54">
        <v>846</v>
      </c>
      <c r="C852" s="168"/>
      <c r="D852" s="51"/>
      <c r="E852" s="29"/>
      <c r="F852" s="48"/>
      <c r="G852" s="29"/>
      <c r="H852" s="187"/>
      <c r="I852" s="187"/>
      <c r="J852" s="195"/>
      <c r="K852" s="86" t="str">
        <f t="shared" si="104"/>
        <v/>
      </c>
      <c r="L852" s="57" t="str">
        <f t="shared" si="111"/>
        <v/>
      </c>
      <c r="M852" s="186"/>
      <c r="N852" s="189"/>
      <c r="O852" s="190"/>
      <c r="P852" s="190" t="str">
        <f>IF(OR(ISBLANK(V852),COUNTBLANK(V852:$V$1048576)=ROWS(V852:$V$1048576)),"",$R$2*(1+SUM(V$7:V852)))</f>
        <v/>
      </c>
      <c r="Q852" s="191"/>
      <c r="R852" s="189"/>
      <c r="S852" s="53" t="str">
        <f t="shared" si="105"/>
        <v/>
      </c>
      <c r="T852" s="63" t="str">
        <f t="shared" si="106"/>
        <v/>
      </c>
      <c r="U852" s="64" t="str">
        <f>IF(OR(ISBLANK(Trades!R852), ISBLANK(Trades!H852), ISBLANK(Trades!I852)), "", IF(Trades!H852=Trades!I852, "N/A", (Trades!R852-Trades!H852)/(Trades!H852-Trades!I852)))</f>
        <v/>
      </c>
      <c r="V852" s="65" t="str">
        <f t="shared" si="107"/>
        <v/>
      </c>
      <c r="W852" s="66" t="str">
        <f t="shared" si="108"/>
        <v/>
      </c>
      <c r="X852" s="62" t="str">
        <f t="shared" si="109"/>
        <v/>
      </c>
      <c r="Y852" s="45"/>
      <c r="Z852" s="44"/>
      <c r="AA852" s="41"/>
      <c r="AB852" s="39"/>
      <c r="AC852" s="37" t="str">
        <f t="shared" si="110"/>
        <v/>
      </c>
    </row>
    <row r="853" spans="2:29" x14ac:dyDescent="0.25">
      <c r="B853" s="54">
        <v>847</v>
      </c>
      <c r="C853" s="168"/>
      <c r="D853" s="51"/>
      <c r="E853" s="29"/>
      <c r="F853" s="48"/>
      <c r="G853" s="29"/>
      <c r="H853" s="187"/>
      <c r="I853" s="187"/>
      <c r="J853" s="195"/>
      <c r="K853" s="86" t="str">
        <f t="shared" si="104"/>
        <v/>
      </c>
      <c r="L853" s="57" t="str">
        <f t="shared" si="111"/>
        <v/>
      </c>
      <c r="M853" s="186"/>
      <c r="N853" s="189"/>
      <c r="O853" s="190"/>
      <c r="P853" s="190" t="str">
        <f>IF(OR(ISBLANK(V853),COUNTBLANK(V853:$V$1048576)=ROWS(V853:$V$1048576)),"",$R$2*(1+SUM(V$7:V853)))</f>
        <v/>
      </c>
      <c r="Q853" s="191"/>
      <c r="R853" s="189"/>
      <c r="S853" s="53" t="str">
        <f t="shared" si="105"/>
        <v/>
      </c>
      <c r="T853" s="63" t="str">
        <f t="shared" si="106"/>
        <v/>
      </c>
      <c r="U853" s="64" t="str">
        <f>IF(OR(ISBLANK(Trades!R853), ISBLANK(Trades!H853), ISBLANK(Trades!I853)), "", IF(Trades!H853=Trades!I853, "N/A", (Trades!R853-Trades!H853)/(Trades!H853-Trades!I853)))</f>
        <v/>
      </c>
      <c r="V853" s="65" t="str">
        <f t="shared" si="107"/>
        <v/>
      </c>
      <c r="W853" s="66" t="str">
        <f t="shared" si="108"/>
        <v/>
      </c>
      <c r="X853" s="62" t="str">
        <f t="shared" si="109"/>
        <v/>
      </c>
      <c r="Y853" s="45"/>
      <c r="Z853" s="44"/>
      <c r="AA853" s="41"/>
      <c r="AB853" s="39"/>
      <c r="AC853" s="37" t="str">
        <f t="shared" si="110"/>
        <v/>
      </c>
    </row>
    <row r="854" spans="2:29" x14ac:dyDescent="0.25">
      <c r="B854" s="54">
        <v>848</v>
      </c>
      <c r="C854" s="168"/>
      <c r="D854" s="51"/>
      <c r="E854" s="29"/>
      <c r="F854" s="48"/>
      <c r="G854" s="29"/>
      <c r="H854" s="187"/>
      <c r="I854" s="187"/>
      <c r="J854" s="195"/>
      <c r="K854" s="86" t="str">
        <f t="shared" si="104"/>
        <v/>
      </c>
      <c r="L854" s="57" t="str">
        <f t="shared" si="111"/>
        <v/>
      </c>
      <c r="M854" s="186"/>
      <c r="N854" s="189"/>
      <c r="O854" s="190"/>
      <c r="P854" s="190" t="str">
        <f>IF(OR(ISBLANK(V854),COUNTBLANK(V854:$V$1048576)=ROWS(V854:$V$1048576)),"",$R$2*(1+SUM(V$7:V854)))</f>
        <v/>
      </c>
      <c r="Q854" s="191"/>
      <c r="R854" s="189"/>
      <c r="S854" s="53" t="str">
        <f t="shared" si="105"/>
        <v/>
      </c>
      <c r="T854" s="63" t="str">
        <f t="shared" si="106"/>
        <v/>
      </c>
      <c r="U854" s="64" t="str">
        <f>IF(OR(ISBLANK(Trades!R854), ISBLANK(Trades!H854), ISBLANK(Trades!I854)), "", IF(Trades!H854=Trades!I854, "N/A", (Trades!R854-Trades!H854)/(Trades!H854-Trades!I854)))</f>
        <v/>
      </c>
      <c r="V854" s="65" t="str">
        <f t="shared" si="107"/>
        <v/>
      </c>
      <c r="W854" s="66" t="str">
        <f t="shared" si="108"/>
        <v/>
      </c>
      <c r="X854" s="62" t="str">
        <f t="shared" si="109"/>
        <v/>
      </c>
      <c r="Y854" s="45"/>
      <c r="Z854" s="44"/>
      <c r="AA854" s="41"/>
      <c r="AB854" s="39"/>
      <c r="AC854" s="37" t="str">
        <f t="shared" si="110"/>
        <v/>
      </c>
    </row>
    <row r="855" spans="2:29" x14ac:dyDescent="0.25">
      <c r="B855" s="54">
        <v>849</v>
      </c>
      <c r="C855" s="168"/>
      <c r="D855" s="51"/>
      <c r="E855" s="29"/>
      <c r="F855" s="48"/>
      <c r="G855" s="29"/>
      <c r="H855" s="187"/>
      <c r="I855" s="187"/>
      <c r="J855" s="195"/>
      <c r="K855" s="86" t="str">
        <f t="shared" si="104"/>
        <v/>
      </c>
      <c r="L855" s="57" t="str">
        <f t="shared" si="111"/>
        <v/>
      </c>
      <c r="M855" s="186"/>
      <c r="N855" s="189"/>
      <c r="O855" s="190"/>
      <c r="P855" s="190" t="str">
        <f>IF(OR(ISBLANK(V855),COUNTBLANK(V855:$V$1048576)=ROWS(V855:$V$1048576)),"",$R$2*(1+SUM(V$7:V855)))</f>
        <v/>
      </c>
      <c r="Q855" s="191"/>
      <c r="R855" s="189"/>
      <c r="S855" s="53" t="str">
        <f t="shared" si="105"/>
        <v/>
      </c>
      <c r="T855" s="63" t="str">
        <f t="shared" si="106"/>
        <v/>
      </c>
      <c r="U855" s="64" t="str">
        <f>IF(OR(ISBLANK(Trades!R855), ISBLANK(Trades!H855), ISBLANK(Trades!I855)), "", IF(Trades!H855=Trades!I855, "N/A", (Trades!R855-Trades!H855)/(Trades!H855-Trades!I855)))</f>
        <v/>
      </c>
      <c r="V855" s="65" t="str">
        <f t="shared" si="107"/>
        <v/>
      </c>
      <c r="W855" s="66" t="str">
        <f t="shared" si="108"/>
        <v/>
      </c>
      <c r="X855" s="62" t="str">
        <f t="shared" si="109"/>
        <v/>
      </c>
      <c r="Y855" s="45"/>
      <c r="Z855" s="44"/>
      <c r="AA855" s="41"/>
      <c r="AB855" s="39"/>
      <c r="AC855" s="37" t="str">
        <f t="shared" si="110"/>
        <v/>
      </c>
    </row>
    <row r="856" spans="2:29" x14ac:dyDescent="0.25">
      <c r="B856" s="54">
        <v>850</v>
      </c>
      <c r="C856" s="168"/>
      <c r="D856" s="51"/>
      <c r="E856" s="29"/>
      <c r="F856" s="48"/>
      <c r="G856" s="29"/>
      <c r="H856" s="187"/>
      <c r="I856" s="187"/>
      <c r="J856" s="195"/>
      <c r="K856" s="86" t="str">
        <f t="shared" si="104"/>
        <v/>
      </c>
      <c r="L856" s="57" t="str">
        <f t="shared" si="111"/>
        <v/>
      </c>
      <c r="M856" s="186"/>
      <c r="N856" s="189"/>
      <c r="O856" s="190"/>
      <c r="P856" s="190" t="str">
        <f>IF(OR(ISBLANK(V856),COUNTBLANK(V856:$V$1048576)=ROWS(V856:$V$1048576)),"",$R$2*(1+SUM(V$7:V856)))</f>
        <v/>
      </c>
      <c r="Q856" s="191"/>
      <c r="R856" s="189"/>
      <c r="S856" s="53" t="str">
        <f t="shared" si="105"/>
        <v/>
      </c>
      <c r="T856" s="63" t="str">
        <f t="shared" si="106"/>
        <v/>
      </c>
      <c r="U856" s="64" t="str">
        <f>IF(OR(ISBLANK(Trades!R856), ISBLANK(Trades!H856), ISBLANK(Trades!I856)), "", IF(Trades!H856=Trades!I856, "N/A", (Trades!R856-Trades!H856)/(Trades!H856-Trades!I856)))</f>
        <v/>
      </c>
      <c r="V856" s="65" t="str">
        <f t="shared" si="107"/>
        <v/>
      </c>
      <c r="W856" s="66" t="str">
        <f t="shared" si="108"/>
        <v/>
      </c>
      <c r="X856" s="62" t="str">
        <f t="shared" si="109"/>
        <v/>
      </c>
      <c r="Y856" s="45"/>
      <c r="Z856" s="44"/>
      <c r="AA856" s="41"/>
      <c r="AB856" s="39"/>
      <c r="AC856" s="37" t="str">
        <f t="shared" si="110"/>
        <v/>
      </c>
    </row>
    <row r="857" spans="2:29" x14ac:dyDescent="0.25">
      <c r="B857" s="54">
        <v>851</v>
      </c>
      <c r="C857" s="168"/>
      <c r="D857" s="51"/>
      <c r="E857" s="29"/>
      <c r="F857" s="48"/>
      <c r="G857" s="29"/>
      <c r="H857" s="187"/>
      <c r="I857" s="187"/>
      <c r="J857" s="195"/>
      <c r="K857" s="86" t="str">
        <f t="shared" si="104"/>
        <v/>
      </c>
      <c r="L857" s="57" t="str">
        <f t="shared" si="111"/>
        <v/>
      </c>
      <c r="M857" s="186"/>
      <c r="N857" s="189"/>
      <c r="O857" s="190"/>
      <c r="P857" s="190" t="str">
        <f>IF(OR(ISBLANK(V857),COUNTBLANK(V857:$V$1048576)=ROWS(V857:$V$1048576)),"",$R$2*(1+SUM(V$7:V857)))</f>
        <v/>
      </c>
      <c r="Q857" s="191"/>
      <c r="R857" s="189"/>
      <c r="S857" s="53" t="str">
        <f t="shared" si="105"/>
        <v/>
      </c>
      <c r="T857" s="63" t="str">
        <f t="shared" si="106"/>
        <v/>
      </c>
      <c r="U857" s="64" t="str">
        <f>IF(OR(ISBLANK(Trades!R857), ISBLANK(Trades!H857), ISBLANK(Trades!I857)), "", IF(Trades!H857=Trades!I857, "N/A", (Trades!R857-Trades!H857)/(Trades!H857-Trades!I857)))</f>
        <v/>
      </c>
      <c r="V857" s="65" t="str">
        <f t="shared" si="107"/>
        <v/>
      </c>
      <c r="W857" s="66" t="str">
        <f t="shared" si="108"/>
        <v/>
      </c>
      <c r="X857" s="62" t="str">
        <f t="shared" si="109"/>
        <v/>
      </c>
      <c r="Y857" s="45"/>
      <c r="Z857" s="44"/>
      <c r="AA857" s="41"/>
      <c r="AB857" s="39"/>
      <c r="AC857" s="37" t="str">
        <f t="shared" si="110"/>
        <v/>
      </c>
    </row>
    <row r="858" spans="2:29" x14ac:dyDescent="0.25">
      <c r="B858" s="54">
        <v>852</v>
      </c>
      <c r="C858" s="168"/>
      <c r="D858" s="51"/>
      <c r="E858" s="29"/>
      <c r="F858" s="48"/>
      <c r="G858" s="29"/>
      <c r="H858" s="187"/>
      <c r="I858" s="187"/>
      <c r="J858" s="195"/>
      <c r="K858" s="86" t="str">
        <f t="shared" si="104"/>
        <v/>
      </c>
      <c r="L858" s="57" t="str">
        <f t="shared" si="111"/>
        <v/>
      </c>
      <c r="M858" s="186"/>
      <c r="N858" s="189"/>
      <c r="O858" s="190"/>
      <c r="P858" s="190" t="str">
        <f>IF(OR(ISBLANK(V858),COUNTBLANK(V858:$V$1048576)=ROWS(V858:$V$1048576)),"",$R$2*(1+SUM(V$7:V858)))</f>
        <v/>
      </c>
      <c r="Q858" s="191"/>
      <c r="R858" s="189"/>
      <c r="S858" s="53" t="str">
        <f t="shared" si="105"/>
        <v/>
      </c>
      <c r="T858" s="63" t="str">
        <f t="shared" si="106"/>
        <v/>
      </c>
      <c r="U858" s="64" t="str">
        <f>IF(OR(ISBLANK(Trades!R858), ISBLANK(Trades!H858), ISBLANK(Trades!I858)), "", IF(Trades!H858=Trades!I858, "N/A", (Trades!R858-Trades!H858)/(Trades!H858-Trades!I858)))</f>
        <v/>
      </c>
      <c r="V858" s="65" t="str">
        <f t="shared" si="107"/>
        <v/>
      </c>
      <c r="W858" s="66" t="str">
        <f t="shared" si="108"/>
        <v/>
      </c>
      <c r="X858" s="62" t="str">
        <f t="shared" si="109"/>
        <v/>
      </c>
      <c r="Y858" s="45"/>
      <c r="Z858" s="44"/>
      <c r="AA858" s="41"/>
      <c r="AB858" s="39"/>
      <c r="AC858" s="37" t="str">
        <f t="shared" si="110"/>
        <v/>
      </c>
    </row>
    <row r="859" spans="2:29" x14ac:dyDescent="0.25">
      <c r="B859" s="54">
        <v>853</v>
      </c>
      <c r="C859" s="168"/>
      <c r="D859" s="51"/>
      <c r="E859" s="29"/>
      <c r="F859" s="48"/>
      <c r="G859" s="29"/>
      <c r="H859" s="187"/>
      <c r="I859" s="187"/>
      <c r="J859" s="195"/>
      <c r="K859" s="86" t="str">
        <f t="shared" si="104"/>
        <v/>
      </c>
      <c r="L859" s="57" t="str">
        <f t="shared" si="111"/>
        <v/>
      </c>
      <c r="M859" s="186"/>
      <c r="N859" s="189"/>
      <c r="O859" s="190"/>
      <c r="P859" s="190" t="str">
        <f>IF(OR(ISBLANK(V859),COUNTBLANK(V859:$V$1048576)=ROWS(V859:$V$1048576)),"",$R$2*(1+SUM(V$7:V859)))</f>
        <v/>
      </c>
      <c r="Q859" s="191"/>
      <c r="R859" s="189"/>
      <c r="S859" s="53" t="str">
        <f t="shared" si="105"/>
        <v/>
      </c>
      <c r="T859" s="63" t="str">
        <f t="shared" si="106"/>
        <v/>
      </c>
      <c r="U859" s="64" t="str">
        <f>IF(OR(ISBLANK(Trades!R859), ISBLANK(Trades!H859), ISBLANK(Trades!I859)), "", IF(Trades!H859=Trades!I859, "N/A", (Trades!R859-Trades!H859)/(Trades!H859-Trades!I859)))</f>
        <v/>
      </c>
      <c r="V859" s="65" t="str">
        <f t="shared" si="107"/>
        <v/>
      </c>
      <c r="W859" s="66" t="str">
        <f t="shared" si="108"/>
        <v/>
      </c>
      <c r="X859" s="62" t="str">
        <f t="shared" si="109"/>
        <v/>
      </c>
      <c r="Y859" s="45"/>
      <c r="Z859" s="44"/>
      <c r="AA859" s="41"/>
      <c r="AB859" s="39"/>
      <c r="AC859" s="37" t="str">
        <f t="shared" si="110"/>
        <v/>
      </c>
    </row>
    <row r="860" spans="2:29" x14ac:dyDescent="0.25">
      <c r="B860" s="54">
        <v>854</v>
      </c>
      <c r="C860" s="168"/>
      <c r="D860" s="51"/>
      <c r="E860" s="29"/>
      <c r="F860" s="48"/>
      <c r="G860" s="29"/>
      <c r="H860" s="187"/>
      <c r="I860" s="187"/>
      <c r="J860" s="195"/>
      <c r="K860" s="86" t="str">
        <f t="shared" si="104"/>
        <v/>
      </c>
      <c r="L860" s="57" t="str">
        <f t="shared" si="111"/>
        <v/>
      </c>
      <c r="M860" s="186"/>
      <c r="N860" s="189"/>
      <c r="O860" s="190"/>
      <c r="P860" s="190" t="str">
        <f>IF(OR(ISBLANK(V860),COUNTBLANK(V860:$V$1048576)=ROWS(V860:$V$1048576)),"",$R$2*(1+SUM(V$7:V860)))</f>
        <v/>
      </c>
      <c r="Q860" s="191"/>
      <c r="R860" s="189"/>
      <c r="S860" s="53" t="str">
        <f t="shared" si="105"/>
        <v/>
      </c>
      <c r="T860" s="63" t="str">
        <f t="shared" si="106"/>
        <v/>
      </c>
      <c r="U860" s="64" t="str">
        <f>IF(OR(ISBLANK(Trades!R860), ISBLANK(Trades!H860), ISBLANK(Trades!I860)), "", IF(Trades!H860=Trades!I860, "N/A", (Trades!R860-Trades!H860)/(Trades!H860-Trades!I860)))</f>
        <v/>
      </c>
      <c r="V860" s="65" t="str">
        <f t="shared" si="107"/>
        <v/>
      </c>
      <c r="W860" s="66" t="str">
        <f t="shared" si="108"/>
        <v/>
      </c>
      <c r="X860" s="62" t="str">
        <f t="shared" si="109"/>
        <v/>
      </c>
      <c r="Y860" s="45"/>
      <c r="Z860" s="44"/>
      <c r="AA860" s="41"/>
      <c r="AB860" s="39"/>
      <c r="AC860" s="37" t="str">
        <f t="shared" si="110"/>
        <v/>
      </c>
    </row>
    <row r="861" spans="2:29" x14ac:dyDescent="0.25">
      <c r="B861" s="54">
        <v>855</v>
      </c>
      <c r="C861" s="168"/>
      <c r="D861" s="51"/>
      <c r="E861" s="29"/>
      <c r="F861" s="48"/>
      <c r="G861" s="29"/>
      <c r="H861" s="187"/>
      <c r="I861" s="187"/>
      <c r="J861" s="195"/>
      <c r="K861" s="86" t="str">
        <f t="shared" si="104"/>
        <v/>
      </c>
      <c r="L861" s="57" t="str">
        <f t="shared" si="111"/>
        <v/>
      </c>
      <c r="M861" s="186"/>
      <c r="N861" s="189"/>
      <c r="O861" s="190"/>
      <c r="P861" s="190" t="str">
        <f>IF(OR(ISBLANK(V861),COUNTBLANK(V861:$V$1048576)=ROWS(V861:$V$1048576)),"",$R$2*(1+SUM(V$7:V861)))</f>
        <v/>
      </c>
      <c r="Q861" s="191"/>
      <c r="R861" s="189"/>
      <c r="S861" s="53" t="str">
        <f t="shared" si="105"/>
        <v/>
      </c>
      <c r="T861" s="63" t="str">
        <f t="shared" si="106"/>
        <v/>
      </c>
      <c r="U861" s="64" t="str">
        <f>IF(OR(ISBLANK(Trades!R861), ISBLANK(Trades!H861), ISBLANK(Trades!I861)), "", IF(Trades!H861=Trades!I861, "N/A", (Trades!R861-Trades!H861)/(Trades!H861-Trades!I861)))</f>
        <v/>
      </c>
      <c r="V861" s="65" t="str">
        <f t="shared" si="107"/>
        <v/>
      </c>
      <c r="W861" s="66" t="str">
        <f t="shared" si="108"/>
        <v/>
      </c>
      <c r="X861" s="62" t="str">
        <f t="shared" si="109"/>
        <v/>
      </c>
      <c r="Y861" s="45"/>
      <c r="Z861" s="44"/>
      <c r="AA861" s="41"/>
      <c r="AB861" s="39"/>
      <c r="AC861" s="37" t="str">
        <f t="shared" si="110"/>
        <v/>
      </c>
    </row>
    <row r="862" spans="2:29" x14ac:dyDescent="0.25">
      <c r="B862" s="54">
        <v>856</v>
      </c>
      <c r="C862" s="168"/>
      <c r="D862" s="51"/>
      <c r="E862" s="29"/>
      <c r="F862" s="48"/>
      <c r="G862" s="29"/>
      <c r="H862" s="187"/>
      <c r="I862" s="187"/>
      <c r="J862" s="195"/>
      <c r="K862" s="86" t="str">
        <f t="shared" si="104"/>
        <v/>
      </c>
      <c r="L862" s="57" t="str">
        <f t="shared" si="111"/>
        <v/>
      </c>
      <c r="M862" s="186"/>
      <c r="N862" s="189"/>
      <c r="O862" s="190"/>
      <c r="P862" s="190" t="str">
        <f>IF(OR(ISBLANK(V862),COUNTBLANK(V862:$V$1048576)=ROWS(V862:$V$1048576)),"",$R$2*(1+SUM(V$7:V862)))</f>
        <v/>
      </c>
      <c r="Q862" s="191"/>
      <c r="R862" s="189"/>
      <c r="S862" s="53" t="str">
        <f t="shared" si="105"/>
        <v/>
      </c>
      <c r="T862" s="63" t="str">
        <f t="shared" si="106"/>
        <v/>
      </c>
      <c r="U862" s="64" t="str">
        <f>IF(OR(ISBLANK(Trades!R862), ISBLANK(Trades!H862), ISBLANK(Trades!I862)), "", IF(Trades!H862=Trades!I862, "N/A", (Trades!R862-Trades!H862)/(Trades!H862-Trades!I862)))</f>
        <v/>
      </c>
      <c r="V862" s="65" t="str">
        <f t="shared" si="107"/>
        <v/>
      </c>
      <c r="W862" s="66" t="str">
        <f t="shared" si="108"/>
        <v/>
      </c>
      <c r="X862" s="62" t="str">
        <f t="shared" si="109"/>
        <v/>
      </c>
      <c r="Y862" s="45"/>
      <c r="Z862" s="44"/>
      <c r="AA862" s="41"/>
      <c r="AB862" s="39"/>
      <c r="AC862" s="37" t="str">
        <f t="shared" si="110"/>
        <v/>
      </c>
    </row>
    <row r="863" spans="2:29" x14ac:dyDescent="0.25">
      <c r="B863" s="54">
        <v>857</v>
      </c>
      <c r="C863" s="168"/>
      <c r="D863" s="51"/>
      <c r="E863" s="29"/>
      <c r="F863" s="48"/>
      <c r="G863" s="29"/>
      <c r="H863" s="187"/>
      <c r="I863" s="187"/>
      <c r="J863" s="195"/>
      <c r="K863" s="86" t="str">
        <f t="shared" si="104"/>
        <v/>
      </c>
      <c r="L863" s="57" t="str">
        <f t="shared" si="111"/>
        <v/>
      </c>
      <c r="M863" s="186"/>
      <c r="N863" s="189"/>
      <c r="O863" s="190"/>
      <c r="P863" s="190" t="str">
        <f>IF(OR(ISBLANK(V863),COUNTBLANK(V863:$V$1048576)=ROWS(V863:$V$1048576)),"",$R$2*(1+SUM(V$7:V863)))</f>
        <v/>
      </c>
      <c r="Q863" s="191"/>
      <c r="R863" s="189"/>
      <c r="S863" s="53" t="str">
        <f t="shared" si="105"/>
        <v/>
      </c>
      <c r="T863" s="63" t="str">
        <f t="shared" si="106"/>
        <v/>
      </c>
      <c r="U863" s="64" t="str">
        <f>IF(OR(ISBLANK(Trades!R863), ISBLANK(Trades!H863), ISBLANK(Trades!I863)), "", IF(Trades!H863=Trades!I863, "N/A", (Trades!R863-Trades!H863)/(Trades!H863-Trades!I863)))</f>
        <v/>
      </c>
      <c r="V863" s="65" t="str">
        <f t="shared" si="107"/>
        <v/>
      </c>
      <c r="W863" s="66" t="str">
        <f t="shared" si="108"/>
        <v/>
      </c>
      <c r="X863" s="62" t="str">
        <f t="shared" si="109"/>
        <v/>
      </c>
      <c r="Y863" s="45"/>
      <c r="Z863" s="44"/>
      <c r="AA863" s="41"/>
      <c r="AB863" s="39"/>
      <c r="AC863" s="37" t="str">
        <f t="shared" si="110"/>
        <v/>
      </c>
    </row>
    <row r="864" spans="2:29" x14ac:dyDescent="0.25">
      <c r="B864" s="54">
        <v>858</v>
      </c>
      <c r="C864" s="168"/>
      <c r="D864" s="51"/>
      <c r="E864" s="29"/>
      <c r="F864" s="48"/>
      <c r="G864" s="29"/>
      <c r="H864" s="187"/>
      <c r="I864" s="187"/>
      <c r="J864" s="195"/>
      <c r="K864" s="86" t="str">
        <f t="shared" si="104"/>
        <v/>
      </c>
      <c r="L864" s="57" t="str">
        <f t="shared" si="111"/>
        <v/>
      </c>
      <c r="M864" s="186"/>
      <c r="N864" s="189"/>
      <c r="O864" s="190"/>
      <c r="P864" s="190" t="str">
        <f>IF(OR(ISBLANK(V864),COUNTBLANK(V864:$V$1048576)=ROWS(V864:$V$1048576)),"",$R$2*(1+SUM(V$7:V864)))</f>
        <v/>
      </c>
      <c r="Q864" s="191"/>
      <c r="R864" s="189"/>
      <c r="S864" s="53" t="str">
        <f t="shared" si="105"/>
        <v/>
      </c>
      <c r="T864" s="63" t="str">
        <f t="shared" si="106"/>
        <v/>
      </c>
      <c r="U864" s="64" t="str">
        <f>IF(OR(ISBLANK(Trades!R864), ISBLANK(Trades!H864), ISBLANK(Trades!I864)), "", IF(Trades!H864=Trades!I864, "N/A", (Trades!R864-Trades!H864)/(Trades!H864-Trades!I864)))</f>
        <v/>
      </c>
      <c r="V864" s="65" t="str">
        <f t="shared" si="107"/>
        <v/>
      </c>
      <c r="W864" s="66" t="str">
        <f t="shared" si="108"/>
        <v/>
      </c>
      <c r="X864" s="62" t="str">
        <f t="shared" si="109"/>
        <v/>
      </c>
      <c r="Y864" s="45"/>
      <c r="Z864" s="44"/>
      <c r="AA864" s="41"/>
      <c r="AB864" s="39"/>
      <c r="AC864" s="37" t="str">
        <f t="shared" si="110"/>
        <v/>
      </c>
    </row>
    <row r="865" spans="2:29" x14ac:dyDescent="0.25">
      <c r="B865" s="54">
        <v>859</v>
      </c>
      <c r="C865" s="168"/>
      <c r="D865" s="51"/>
      <c r="E865" s="29"/>
      <c r="F865" s="48"/>
      <c r="G865" s="29"/>
      <c r="H865" s="187"/>
      <c r="I865" s="187"/>
      <c r="J865" s="195"/>
      <c r="K865" s="86" t="str">
        <f t="shared" si="104"/>
        <v/>
      </c>
      <c r="L865" s="57" t="str">
        <f t="shared" si="111"/>
        <v/>
      </c>
      <c r="M865" s="186"/>
      <c r="N865" s="189"/>
      <c r="O865" s="190"/>
      <c r="P865" s="190" t="str">
        <f>IF(OR(ISBLANK(V865),COUNTBLANK(V865:$V$1048576)=ROWS(V865:$V$1048576)),"",$R$2*(1+SUM(V$7:V865)))</f>
        <v/>
      </c>
      <c r="Q865" s="191"/>
      <c r="R865" s="189"/>
      <c r="S865" s="53" t="str">
        <f t="shared" si="105"/>
        <v/>
      </c>
      <c r="T865" s="63" t="str">
        <f t="shared" si="106"/>
        <v/>
      </c>
      <c r="U865" s="64" t="str">
        <f>IF(OR(ISBLANK(Trades!R865), ISBLANK(Trades!H865), ISBLANK(Trades!I865)), "", IF(Trades!H865=Trades!I865, "N/A", (Trades!R865-Trades!H865)/(Trades!H865-Trades!I865)))</f>
        <v/>
      </c>
      <c r="V865" s="65" t="str">
        <f t="shared" si="107"/>
        <v/>
      </c>
      <c r="W865" s="66" t="str">
        <f t="shared" si="108"/>
        <v/>
      </c>
      <c r="X865" s="62" t="str">
        <f t="shared" si="109"/>
        <v/>
      </c>
      <c r="Y865" s="45"/>
      <c r="Z865" s="44"/>
      <c r="AA865" s="41"/>
      <c r="AB865" s="39"/>
      <c r="AC865" s="37" t="str">
        <f t="shared" si="110"/>
        <v/>
      </c>
    </row>
    <row r="866" spans="2:29" x14ac:dyDescent="0.25">
      <c r="B866" s="54">
        <v>860</v>
      </c>
      <c r="C866" s="168"/>
      <c r="D866" s="51"/>
      <c r="E866" s="29"/>
      <c r="F866" s="48"/>
      <c r="G866" s="29"/>
      <c r="H866" s="187"/>
      <c r="I866" s="187"/>
      <c r="J866" s="195"/>
      <c r="K866" s="86" t="str">
        <f t="shared" si="104"/>
        <v/>
      </c>
      <c r="L866" s="57" t="str">
        <f t="shared" si="111"/>
        <v/>
      </c>
      <c r="M866" s="186"/>
      <c r="N866" s="189"/>
      <c r="O866" s="190"/>
      <c r="P866" s="190" t="str">
        <f>IF(OR(ISBLANK(V866),COUNTBLANK(V866:$V$1048576)=ROWS(V866:$V$1048576)),"",$R$2*(1+SUM(V$7:V866)))</f>
        <v/>
      </c>
      <c r="Q866" s="191"/>
      <c r="R866" s="189"/>
      <c r="S866" s="53" t="str">
        <f t="shared" si="105"/>
        <v/>
      </c>
      <c r="T866" s="63" t="str">
        <f t="shared" si="106"/>
        <v/>
      </c>
      <c r="U866" s="64" t="str">
        <f>IF(OR(ISBLANK(Trades!R866), ISBLANK(Trades!H866), ISBLANK(Trades!I866)), "", IF(Trades!H866=Trades!I866, "N/A", (Trades!R866-Trades!H866)/(Trades!H866-Trades!I866)))</f>
        <v/>
      </c>
      <c r="V866" s="65" t="str">
        <f t="shared" si="107"/>
        <v/>
      </c>
      <c r="W866" s="66" t="str">
        <f t="shared" si="108"/>
        <v/>
      </c>
      <c r="X866" s="62" t="str">
        <f t="shared" si="109"/>
        <v/>
      </c>
      <c r="Y866" s="45"/>
      <c r="Z866" s="44"/>
      <c r="AA866" s="41"/>
      <c r="AB866" s="39"/>
      <c r="AC866" s="37" t="str">
        <f t="shared" si="110"/>
        <v/>
      </c>
    </row>
    <row r="867" spans="2:29" x14ac:dyDescent="0.25">
      <c r="B867" s="54">
        <v>861</v>
      </c>
      <c r="C867" s="168"/>
      <c r="D867" s="51"/>
      <c r="E867" s="29"/>
      <c r="F867" s="48"/>
      <c r="G867" s="29"/>
      <c r="H867" s="187"/>
      <c r="I867" s="187"/>
      <c r="J867" s="195"/>
      <c r="K867" s="86" t="str">
        <f t="shared" si="104"/>
        <v/>
      </c>
      <c r="L867" s="57" t="str">
        <f t="shared" si="111"/>
        <v/>
      </c>
      <c r="M867" s="186"/>
      <c r="N867" s="189"/>
      <c r="O867" s="190"/>
      <c r="P867" s="190" t="str">
        <f>IF(OR(ISBLANK(V867),COUNTBLANK(V867:$V$1048576)=ROWS(V867:$V$1048576)),"",$R$2*(1+SUM(V$7:V867)))</f>
        <v/>
      </c>
      <c r="Q867" s="191"/>
      <c r="R867" s="189"/>
      <c r="S867" s="53" t="str">
        <f t="shared" si="105"/>
        <v/>
      </c>
      <c r="T867" s="63" t="str">
        <f t="shared" si="106"/>
        <v/>
      </c>
      <c r="U867" s="64" t="str">
        <f>IF(OR(ISBLANK(Trades!R867), ISBLANK(Trades!H867), ISBLANK(Trades!I867)), "", IF(Trades!H867=Trades!I867, "N/A", (Trades!R867-Trades!H867)/(Trades!H867-Trades!I867)))</f>
        <v/>
      </c>
      <c r="V867" s="65" t="str">
        <f t="shared" si="107"/>
        <v/>
      </c>
      <c r="W867" s="66" t="str">
        <f t="shared" si="108"/>
        <v/>
      </c>
      <c r="X867" s="62" t="str">
        <f t="shared" si="109"/>
        <v/>
      </c>
      <c r="Y867" s="45"/>
      <c r="Z867" s="44"/>
      <c r="AA867" s="41"/>
      <c r="AB867" s="39"/>
      <c r="AC867" s="37" t="str">
        <f t="shared" si="110"/>
        <v/>
      </c>
    </row>
    <row r="868" spans="2:29" x14ac:dyDescent="0.25">
      <c r="B868" s="54">
        <v>862</v>
      </c>
      <c r="C868" s="168"/>
      <c r="D868" s="51"/>
      <c r="E868" s="29"/>
      <c r="F868" s="48"/>
      <c r="G868" s="29"/>
      <c r="H868" s="187"/>
      <c r="I868" s="187"/>
      <c r="J868" s="195"/>
      <c r="K868" s="86" t="str">
        <f t="shared" si="104"/>
        <v/>
      </c>
      <c r="L868" s="57" t="str">
        <f t="shared" si="111"/>
        <v/>
      </c>
      <c r="M868" s="186"/>
      <c r="N868" s="189"/>
      <c r="O868" s="190"/>
      <c r="P868" s="190" t="str">
        <f>IF(OR(ISBLANK(V868),COUNTBLANK(V868:$V$1048576)=ROWS(V868:$V$1048576)),"",$R$2*(1+SUM(V$7:V868)))</f>
        <v/>
      </c>
      <c r="Q868" s="191"/>
      <c r="R868" s="189"/>
      <c r="S868" s="53" t="str">
        <f t="shared" si="105"/>
        <v/>
      </c>
      <c r="T868" s="63" t="str">
        <f t="shared" si="106"/>
        <v/>
      </c>
      <c r="U868" s="64" t="str">
        <f>IF(OR(ISBLANK(Trades!R868), ISBLANK(Trades!H868), ISBLANK(Trades!I868)), "", IF(Trades!H868=Trades!I868, "N/A", (Trades!R868-Trades!H868)/(Trades!H868-Trades!I868)))</f>
        <v/>
      </c>
      <c r="V868" s="65" t="str">
        <f t="shared" si="107"/>
        <v/>
      </c>
      <c r="W868" s="66" t="str">
        <f t="shared" si="108"/>
        <v/>
      </c>
      <c r="X868" s="62" t="str">
        <f t="shared" si="109"/>
        <v/>
      </c>
      <c r="Y868" s="45"/>
      <c r="Z868" s="44"/>
      <c r="AA868" s="41"/>
      <c r="AB868" s="39"/>
      <c r="AC868" s="37" t="str">
        <f t="shared" si="110"/>
        <v/>
      </c>
    </row>
    <row r="869" spans="2:29" x14ac:dyDescent="0.25">
      <c r="B869" s="54">
        <v>863</v>
      </c>
      <c r="C869" s="168"/>
      <c r="D869" s="51"/>
      <c r="E869" s="29"/>
      <c r="F869" s="48"/>
      <c r="G869" s="29"/>
      <c r="H869" s="187"/>
      <c r="I869" s="187"/>
      <c r="J869" s="195"/>
      <c r="K869" s="86" t="str">
        <f t="shared" si="104"/>
        <v/>
      </c>
      <c r="L869" s="57" t="str">
        <f t="shared" si="111"/>
        <v/>
      </c>
      <c r="M869" s="186"/>
      <c r="N869" s="189"/>
      <c r="O869" s="190"/>
      <c r="P869" s="190" t="str">
        <f>IF(OR(ISBLANK(V869),COUNTBLANK(V869:$V$1048576)=ROWS(V869:$V$1048576)),"",$R$2*(1+SUM(V$7:V869)))</f>
        <v/>
      </c>
      <c r="Q869" s="191"/>
      <c r="R869" s="189"/>
      <c r="S869" s="53" t="str">
        <f t="shared" si="105"/>
        <v/>
      </c>
      <c r="T869" s="63" t="str">
        <f t="shared" si="106"/>
        <v/>
      </c>
      <c r="U869" s="64" t="str">
        <f>IF(OR(ISBLANK(Trades!R869), ISBLANK(Trades!H869), ISBLANK(Trades!I869)), "", IF(Trades!H869=Trades!I869, "N/A", (Trades!R869-Trades!H869)/(Trades!H869-Trades!I869)))</f>
        <v/>
      </c>
      <c r="V869" s="65" t="str">
        <f t="shared" si="107"/>
        <v/>
      </c>
      <c r="W869" s="66" t="str">
        <f t="shared" si="108"/>
        <v/>
      </c>
      <c r="X869" s="62" t="str">
        <f t="shared" si="109"/>
        <v/>
      </c>
      <c r="Y869" s="45"/>
      <c r="Z869" s="44"/>
      <c r="AA869" s="41"/>
      <c r="AB869" s="39"/>
      <c r="AC869" s="37" t="str">
        <f t="shared" si="110"/>
        <v/>
      </c>
    </row>
    <row r="870" spans="2:29" x14ac:dyDescent="0.25">
      <c r="B870" s="54">
        <v>864</v>
      </c>
      <c r="C870" s="168"/>
      <c r="D870" s="51"/>
      <c r="E870" s="29"/>
      <c r="F870" s="48"/>
      <c r="G870" s="29"/>
      <c r="H870" s="187"/>
      <c r="I870" s="187"/>
      <c r="J870" s="195"/>
      <c r="K870" s="86" t="str">
        <f t="shared" si="104"/>
        <v/>
      </c>
      <c r="L870" s="57" t="str">
        <f t="shared" si="111"/>
        <v/>
      </c>
      <c r="M870" s="186"/>
      <c r="N870" s="189"/>
      <c r="O870" s="190"/>
      <c r="P870" s="190" t="str">
        <f>IF(OR(ISBLANK(V870),COUNTBLANK(V870:$V$1048576)=ROWS(V870:$V$1048576)),"",$R$2*(1+SUM(V$7:V870)))</f>
        <v/>
      </c>
      <c r="Q870" s="191"/>
      <c r="R870" s="189"/>
      <c r="S870" s="53" t="str">
        <f t="shared" si="105"/>
        <v/>
      </c>
      <c r="T870" s="63" t="str">
        <f t="shared" si="106"/>
        <v/>
      </c>
      <c r="U870" s="64" t="str">
        <f>IF(OR(ISBLANK(Trades!R870), ISBLANK(Trades!H870), ISBLANK(Trades!I870)), "", IF(Trades!H870=Trades!I870, "N/A", (Trades!R870-Trades!H870)/(Trades!H870-Trades!I870)))</f>
        <v/>
      </c>
      <c r="V870" s="65" t="str">
        <f t="shared" si="107"/>
        <v/>
      </c>
      <c r="W870" s="66" t="str">
        <f t="shared" si="108"/>
        <v/>
      </c>
      <c r="X870" s="62" t="str">
        <f t="shared" si="109"/>
        <v/>
      </c>
      <c r="Y870" s="45"/>
      <c r="Z870" s="44"/>
      <c r="AA870" s="41"/>
      <c r="AB870" s="39"/>
      <c r="AC870" s="37" t="str">
        <f t="shared" si="110"/>
        <v/>
      </c>
    </row>
    <row r="871" spans="2:29" x14ac:dyDescent="0.25">
      <c r="B871" s="54">
        <v>865</v>
      </c>
      <c r="C871" s="168"/>
      <c r="D871" s="51"/>
      <c r="E871" s="29"/>
      <c r="F871" s="48"/>
      <c r="G871" s="29"/>
      <c r="H871" s="187"/>
      <c r="I871" s="187"/>
      <c r="J871" s="195"/>
      <c r="K871" s="86" t="str">
        <f t="shared" si="104"/>
        <v/>
      </c>
      <c r="L871" s="57" t="str">
        <f t="shared" si="111"/>
        <v/>
      </c>
      <c r="M871" s="186"/>
      <c r="N871" s="189"/>
      <c r="O871" s="190"/>
      <c r="P871" s="190" t="str">
        <f>IF(OR(ISBLANK(V871),COUNTBLANK(V871:$V$1048576)=ROWS(V871:$V$1048576)),"",$R$2*(1+SUM(V$7:V871)))</f>
        <v/>
      </c>
      <c r="Q871" s="191"/>
      <c r="R871" s="189"/>
      <c r="S871" s="53" t="str">
        <f t="shared" si="105"/>
        <v/>
      </c>
      <c r="T871" s="63" t="str">
        <f t="shared" si="106"/>
        <v/>
      </c>
      <c r="U871" s="64" t="str">
        <f>IF(OR(ISBLANK(Trades!R871), ISBLANK(Trades!H871), ISBLANK(Trades!I871)), "", IF(Trades!H871=Trades!I871, "N/A", (Trades!R871-Trades!H871)/(Trades!H871-Trades!I871)))</f>
        <v/>
      </c>
      <c r="V871" s="65" t="str">
        <f t="shared" si="107"/>
        <v/>
      </c>
      <c r="W871" s="66" t="str">
        <f t="shared" si="108"/>
        <v/>
      </c>
      <c r="X871" s="62" t="str">
        <f t="shared" si="109"/>
        <v/>
      </c>
      <c r="Y871" s="45"/>
      <c r="Z871" s="44"/>
      <c r="AA871" s="41"/>
      <c r="AB871" s="39"/>
      <c r="AC871" s="37" t="str">
        <f t="shared" si="110"/>
        <v/>
      </c>
    </row>
    <row r="872" spans="2:29" x14ac:dyDescent="0.25">
      <c r="B872" s="54">
        <v>866</v>
      </c>
      <c r="C872" s="168"/>
      <c r="D872" s="51"/>
      <c r="E872" s="29"/>
      <c r="F872" s="48"/>
      <c r="G872" s="29"/>
      <c r="H872" s="187"/>
      <c r="I872" s="187"/>
      <c r="J872" s="195"/>
      <c r="K872" s="86" t="str">
        <f t="shared" si="104"/>
        <v/>
      </c>
      <c r="L872" s="57" t="str">
        <f t="shared" si="111"/>
        <v/>
      </c>
      <c r="M872" s="186"/>
      <c r="N872" s="189"/>
      <c r="O872" s="190"/>
      <c r="P872" s="190" t="str">
        <f>IF(OR(ISBLANK(V872),COUNTBLANK(V872:$V$1048576)=ROWS(V872:$V$1048576)),"",$R$2*(1+SUM(V$7:V872)))</f>
        <v/>
      </c>
      <c r="Q872" s="191"/>
      <c r="R872" s="189"/>
      <c r="S872" s="53" t="str">
        <f t="shared" si="105"/>
        <v/>
      </c>
      <c r="T872" s="63" t="str">
        <f t="shared" si="106"/>
        <v/>
      </c>
      <c r="U872" s="64" t="str">
        <f>IF(OR(ISBLANK(Trades!R872), ISBLANK(Trades!H872), ISBLANK(Trades!I872)), "", IF(Trades!H872=Trades!I872, "N/A", (Trades!R872-Trades!H872)/(Trades!H872-Trades!I872)))</f>
        <v/>
      </c>
      <c r="V872" s="65" t="str">
        <f t="shared" si="107"/>
        <v/>
      </c>
      <c r="W872" s="66" t="str">
        <f t="shared" si="108"/>
        <v/>
      </c>
      <c r="X872" s="62" t="str">
        <f t="shared" si="109"/>
        <v/>
      </c>
      <c r="Y872" s="45"/>
      <c r="Z872" s="44"/>
      <c r="AA872" s="41"/>
      <c r="AB872" s="39"/>
      <c r="AC872" s="37" t="str">
        <f t="shared" si="110"/>
        <v/>
      </c>
    </row>
    <row r="873" spans="2:29" x14ac:dyDescent="0.25">
      <c r="B873" s="54">
        <v>867</v>
      </c>
      <c r="C873" s="168"/>
      <c r="D873" s="51"/>
      <c r="E873" s="29"/>
      <c r="F873" s="48"/>
      <c r="G873" s="29"/>
      <c r="H873" s="187"/>
      <c r="I873" s="187"/>
      <c r="J873" s="195"/>
      <c r="K873" s="86" t="str">
        <f t="shared" si="104"/>
        <v/>
      </c>
      <c r="L873" s="57" t="str">
        <f t="shared" si="111"/>
        <v/>
      </c>
      <c r="M873" s="186"/>
      <c r="N873" s="189"/>
      <c r="O873" s="190"/>
      <c r="P873" s="190" t="str">
        <f>IF(OR(ISBLANK(V873),COUNTBLANK(V873:$V$1048576)=ROWS(V873:$V$1048576)),"",$R$2*(1+SUM(V$7:V873)))</f>
        <v/>
      </c>
      <c r="Q873" s="191"/>
      <c r="R873" s="189"/>
      <c r="S873" s="53" t="str">
        <f t="shared" si="105"/>
        <v/>
      </c>
      <c r="T873" s="63" t="str">
        <f t="shared" si="106"/>
        <v/>
      </c>
      <c r="U873" s="64" t="str">
        <f>IF(OR(ISBLANK(Trades!R873), ISBLANK(Trades!H873), ISBLANK(Trades!I873)), "", IF(Trades!H873=Trades!I873, "N/A", (Trades!R873-Trades!H873)/(Trades!H873-Trades!I873)))</f>
        <v/>
      </c>
      <c r="V873" s="65" t="str">
        <f t="shared" si="107"/>
        <v/>
      </c>
      <c r="W873" s="66" t="str">
        <f t="shared" si="108"/>
        <v/>
      </c>
      <c r="X873" s="62" t="str">
        <f t="shared" si="109"/>
        <v/>
      </c>
      <c r="Y873" s="45"/>
      <c r="Z873" s="44"/>
      <c r="AA873" s="41"/>
      <c r="AB873" s="39"/>
      <c r="AC873" s="37" t="str">
        <f t="shared" si="110"/>
        <v/>
      </c>
    </row>
    <row r="874" spans="2:29" x14ac:dyDescent="0.25">
      <c r="B874" s="54">
        <v>868</v>
      </c>
      <c r="C874" s="168"/>
      <c r="D874" s="51"/>
      <c r="E874" s="29"/>
      <c r="F874" s="48"/>
      <c r="G874" s="29"/>
      <c r="H874" s="187"/>
      <c r="I874" s="187"/>
      <c r="J874" s="195"/>
      <c r="K874" s="86" t="str">
        <f t="shared" si="104"/>
        <v/>
      </c>
      <c r="L874" s="57" t="str">
        <f t="shared" si="111"/>
        <v/>
      </c>
      <c r="M874" s="186"/>
      <c r="N874" s="189"/>
      <c r="O874" s="190"/>
      <c r="P874" s="190" t="str">
        <f>IF(OR(ISBLANK(V874),COUNTBLANK(V874:$V$1048576)=ROWS(V874:$V$1048576)),"",$R$2*(1+SUM(V$7:V874)))</f>
        <v/>
      </c>
      <c r="Q874" s="191"/>
      <c r="R874" s="189"/>
      <c r="S874" s="53" t="str">
        <f t="shared" si="105"/>
        <v/>
      </c>
      <c r="T874" s="63" t="str">
        <f t="shared" si="106"/>
        <v/>
      </c>
      <c r="U874" s="64" t="str">
        <f>IF(OR(ISBLANK(Trades!R874), ISBLANK(Trades!H874), ISBLANK(Trades!I874)), "", IF(Trades!H874=Trades!I874, "N/A", (Trades!R874-Trades!H874)/(Trades!H874-Trades!I874)))</f>
        <v/>
      </c>
      <c r="V874" s="65" t="str">
        <f t="shared" si="107"/>
        <v/>
      </c>
      <c r="W874" s="66" t="str">
        <f t="shared" si="108"/>
        <v/>
      </c>
      <c r="X874" s="62" t="str">
        <f t="shared" si="109"/>
        <v/>
      </c>
      <c r="Y874" s="45"/>
      <c r="Z874" s="44"/>
      <c r="AA874" s="41"/>
      <c r="AB874" s="39"/>
      <c r="AC874" s="37" t="str">
        <f t="shared" si="110"/>
        <v/>
      </c>
    </row>
    <row r="875" spans="2:29" x14ac:dyDescent="0.25">
      <c r="B875" s="54">
        <v>869</v>
      </c>
      <c r="C875" s="168"/>
      <c r="D875" s="51"/>
      <c r="E875" s="29"/>
      <c r="F875" s="48"/>
      <c r="G875" s="29"/>
      <c r="H875" s="187"/>
      <c r="I875" s="187"/>
      <c r="J875" s="195"/>
      <c r="K875" s="86" t="str">
        <f t="shared" si="104"/>
        <v/>
      </c>
      <c r="L875" s="57" t="str">
        <f t="shared" si="111"/>
        <v/>
      </c>
      <c r="M875" s="186"/>
      <c r="N875" s="189"/>
      <c r="O875" s="190"/>
      <c r="P875" s="190" t="str">
        <f>IF(OR(ISBLANK(V875),COUNTBLANK(V875:$V$1048576)=ROWS(V875:$V$1048576)),"",$R$2*(1+SUM(V$7:V875)))</f>
        <v/>
      </c>
      <c r="Q875" s="191"/>
      <c r="R875" s="189"/>
      <c r="S875" s="53" t="str">
        <f t="shared" si="105"/>
        <v/>
      </c>
      <c r="T875" s="63" t="str">
        <f t="shared" si="106"/>
        <v/>
      </c>
      <c r="U875" s="64" t="str">
        <f>IF(OR(ISBLANK(Trades!R875), ISBLANK(Trades!H875), ISBLANK(Trades!I875)), "", IF(Trades!H875=Trades!I875, "N/A", (Trades!R875-Trades!H875)/(Trades!H875-Trades!I875)))</f>
        <v/>
      </c>
      <c r="V875" s="65" t="str">
        <f t="shared" si="107"/>
        <v/>
      </c>
      <c r="W875" s="66" t="str">
        <f t="shared" si="108"/>
        <v/>
      </c>
      <c r="X875" s="62" t="str">
        <f t="shared" si="109"/>
        <v/>
      </c>
      <c r="Y875" s="45"/>
      <c r="Z875" s="44"/>
      <c r="AA875" s="41"/>
      <c r="AB875" s="39"/>
      <c r="AC875" s="37" t="str">
        <f t="shared" si="110"/>
        <v/>
      </c>
    </row>
    <row r="876" spans="2:29" x14ac:dyDescent="0.25">
      <c r="B876" s="54">
        <v>870</v>
      </c>
      <c r="C876" s="168"/>
      <c r="D876" s="51"/>
      <c r="E876" s="29"/>
      <c r="F876" s="48"/>
      <c r="G876" s="29"/>
      <c r="H876" s="187"/>
      <c r="I876" s="187"/>
      <c r="J876" s="195"/>
      <c r="K876" s="86" t="str">
        <f t="shared" si="104"/>
        <v/>
      </c>
      <c r="L876" s="57" t="str">
        <f t="shared" si="111"/>
        <v/>
      </c>
      <c r="M876" s="186"/>
      <c r="N876" s="189"/>
      <c r="O876" s="190"/>
      <c r="P876" s="190" t="str">
        <f>IF(OR(ISBLANK(V876),COUNTBLANK(V876:$V$1048576)=ROWS(V876:$V$1048576)),"",$R$2*(1+SUM(V$7:V876)))</f>
        <v/>
      </c>
      <c r="Q876" s="191"/>
      <c r="R876" s="189"/>
      <c r="S876" s="53" t="str">
        <f t="shared" si="105"/>
        <v/>
      </c>
      <c r="T876" s="63" t="str">
        <f t="shared" si="106"/>
        <v/>
      </c>
      <c r="U876" s="64" t="str">
        <f>IF(OR(ISBLANK(Trades!R876), ISBLANK(Trades!H876), ISBLANK(Trades!I876)), "", IF(Trades!H876=Trades!I876, "N/A", (Trades!R876-Trades!H876)/(Trades!H876-Trades!I876)))</f>
        <v/>
      </c>
      <c r="V876" s="65" t="str">
        <f t="shared" si="107"/>
        <v/>
      </c>
      <c r="W876" s="66" t="str">
        <f t="shared" si="108"/>
        <v/>
      </c>
      <c r="X876" s="62" t="str">
        <f t="shared" si="109"/>
        <v/>
      </c>
      <c r="Y876" s="45"/>
      <c r="Z876" s="44"/>
      <c r="AA876" s="41"/>
      <c r="AB876" s="39"/>
      <c r="AC876" s="37" t="str">
        <f t="shared" si="110"/>
        <v/>
      </c>
    </row>
    <row r="877" spans="2:29" x14ac:dyDescent="0.25">
      <c r="B877" s="54">
        <v>871</v>
      </c>
      <c r="C877" s="168"/>
      <c r="D877" s="51"/>
      <c r="E877" s="29"/>
      <c r="F877" s="48"/>
      <c r="G877" s="29"/>
      <c r="H877" s="187"/>
      <c r="I877" s="187"/>
      <c r="J877" s="195"/>
      <c r="K877" s="86" t="str">
        <f t="shared" si="104"/>
        <v/>
      </c>
      <c r="L877" s="57" t="str">
        <f t="shared" si="111"/>
        <v/>
      </c>
      <c r="M877" s="186"/>
      <c r="N877" s="189"/>
      <c r="O877" s="190"/>
      <c r="P877" s="190" t="str">
        <f>IF(OR(ISBLANK(V877),COUNTBLANK(V877:$V$1048576)=ROWS(V877:$V$1048576)),"",$R$2*(1+SUM(V$7:V877)))</f>
        <v/>
      </c>
      <c r="Q877" s="191"/>
      <c r="R877" s="189"/>
      <c r="S877" s="53" t="str">
        <f t="shared" si="105"/>
        <v/>
      </c>
      <c r="T877" s="63" t="str">
        <f t="shared" si="106"/>
        <v/>
      </c>
      <c r="U877" s="64" t="str">
        <f>IF(OR(ISBLANK(Trades!R877), ISBLANK(Trades!H877), ISBLANK(Trades!I877)), "", IF(Trades!H877=Trades!I877, "N/A", (Trades!R877-Trades!H877)/(Trades!H877-Trades!I877)))</f>
        <v/>
      </c>
      <c r="V877" s="65" t="str">
        <f t="shared" si="107"/>
        <v/>
      </c>
      <c r="W877" s="66" t="str">
        <f t="shared" si="108"/>
        <v/>
      </c>
      <c r="X877" s="62" t="str">
        <f t="shared" si="109"/>
        <v/>
      </c>
      <c r="Y877" s="45"/>
      <c r="Z877" s="44"/>
      <c r="AA877" s="41"/>
      <c r="AB877" s="39"/>
      <c r="AC877" s="37" t="str">
        <f t="shared" si="110"/>
        <v/>
      </c>
    </row>
    <row r="878" spans="2:29" x14ac:dyDescent="0.25">
      <c r="B878" s="54">
        <v>872</v>
      </c>
      <c r="C878" s="168"/>
      <c r="D878" s="51"/>
      <c r="E878" s="29"/>
      <c r="F878" s="48"/>
      <c r="G878" s="29"/>
      <c r="H878" s="187"/>
      <c r="I878" s="187"/>
      <c r="J878" s="195"/>
      <c r="K878" s="86" t="str">
        <f t="shared" si="104"/>
        <v/>
      </c>
      <c r="L878" s="57" t="str">
        <f t="shared" si="111"/>
        <v/>
      </c>
      <c r="M878" s="186"/>
      <c r="N878" s="189"/>
      <c r="O878" s="190"/>
      <c r="P878" s="190" t="str">
        <f>IF(OR(ISBLANK(V878),COUNTBLANK(V878:$V$1048576)=ROWS(V878:$V$1048576)),"",$R$2*(1+SUM(V$7:V878)))</f>
        <v/>
      </c>
      <c r="Q878" s="191"/>
      <c r="R878" s="189"/>
      <c r="S878" s="53" t="str">
        <f t="shared" si="105"/>
        <v/>
      </c>
      <c r="T878" s="63" t="str">
        <f t="shared" si="106"/>
        <v/>
      </c>
      <c r="U878" s="64" t="str">
        <f>IF(OR(ISBLANK(Trades!R878), ISBLANK(Trades!H878), ISBLANK(Trades!I878)), "", IF(Trades!H878=Trades!I878, "N/A", (Trades!R878-Trades!H878)/(Trades!H878-Trades!I878)))</f>
        <v/>
      </c>
      <c r="V878" s="65" t="str">
        <f t="shared" si="107"/>
        <v/>
      </c>
      <c r="W878" s="66" t="str">
        <f t="shared" si="108"/>
        <v/>
      </c>
      <c r="X878" s="62" t="str">
        <f t="shared" si="109"/>
        <v/>
      </c>
      <c r="Y878" s="45"/>
      <c r="Z878" s="44"/>
      <c r="AA878" s="41"/>
      <c r="AB878" s="39"/>
      <c r="AC878" s="37" t="str">
        <f t="shared" si="110"/>
        <v/>
      </c>
    </row>
    <row r="879" spans="2:29" x14ac:dyDescent="0.25">
      <c r="B879" s="54">
        <v>873</v>
      </c>
      <c r="C879" s="168"/>
      <c r="D879" s="51"/>
      <c r="E879" s="29"/>
      <c r="F879" s="48"/>
      <c r="G879" s="29"/>
      <c r="H879" s="187"/>
      <c r="I879" s="187"/>
      <c r="J879" s="195"/>
      <c r="K879" s="86" t="str">
        <f t="shared" si="104"/>
        <v/>
      </c>
      <c r="L879" s="57" t="str">
        <f t="shared" si="111"/>
        <v/>
      </c>
      <c r="M879" s="186"/>
      <c r="N879" s="189"/>
      <c r="O879" s="190"/>
      <c r="P879" s="190" t="str">
        <f>IF(OR(ISBLANK(V879),COUNTBLANK(V879:$V$1048576)=ROWS(V879:$V$1048576)),"",$R$2*(1+SUM(V$7:V879)))</f>
        <v/>
      </c>
      <c r="Q879" s="191"/>
      <c r="R879" s="189"/>
      <c r="S879" s="53" t="str">
        <f t="shared" si="105"/>
        <v/>
      </c>
      <c r="T879" s="63" t="str">
        <f t="shared" si="106"/>
        <v/>
      </c>
      <c r="U879" s="64" t="str">
        <f>IF(OR(ISBLANK(Trades!R879), ISBLANK(Trades!H879), ISBLANK(Trades!I879)), "", IF(Trades!H879=Trades!I879, "N/A", (Trades!R879-Trades!H879)/(Trades!H879-Trades!I879)))</f>
        <v/>
      </c>
      <c r="V879" s="65" t="str">
        <f t="shared" si="107"/>
        <v/>
      </c>
      <c r="W879" s="66" t="str">
        <f t="shared" si="108"/>
        <v/>
      </c>
      <c r="X879" s="62" t="str">
        <f t="shared" si="109"/>
        <v/>
      </c>
      <c r="Y879" s="45"/>
      <c r="Z879" s="44"/>
      <c r="AA879" s="41"/>
      <c r="AB879" s="39"/>
      <c r="AC879" s="37" t="str">
        <f t="shared" si="110"/>
        <v/>
      </c>
    </row>
    <row r="880" spans="2:29" x14ac:dyDescent="0.25">
      <c r="B880" s="54">
        <v>874</v>
      </c>
      <c r="C880" s="168"/>
      <c r="D880" s="51"/>
      <c r="E880" s="29"/>
      <c r="F880" s="48"/>
      <c r="G880" s="29"/>
      <c r="H880" s="187"/>
      <c r="I880" s="187"/>
      <c r="J880" s="195"/>
      <c r="K880" s="86" t="str">
        <f t="shared" si="104"/>
        <v/>
      </c>
      <c r="L880" s="57" t="str">
        <f t="shared" si="111"/>
        <v/>
      </c>
      <c r="M880" s="186"/>
      <c r="N880" s="189"/>
      <c r="O880" s="190"/>
      <c r="P880" s="190" t="str">
        <f>IF(OR(ISBLANK(V880),COUNTBLANK(V880:$V$1048576)=ROWS(V880:$V$1048576)),"",$R$2*(1+SUM(V$7:V880)))</f>
        <v/>
      </c>
      <c r="Q880" s="191"/>
      <c r="R880" s="189"/>
      <c r="S880" s="53" t="str">
        <f t="shared" si="105"/>
        <v/>
      </c>
      <c r="T880" s="63" t="str">
        <f t="shared" si="106"/>
        <v/>
      </c>
      <c r="U880" s="64" t="str">
        <f>IF(OR(ISBLANK(Trades!R880), ISBLANK(Trades!H880), ISBLANK(Trades!I880)), "", IF(Trades!H880=Trades!I880, "N/A", (Trades!R880-Trades!H880)/(Trades!H880-Trades!I880)))</f>
        <v/>
      </c>
      <c r="V880" s="65" t="str">
        <f t="shared" si="107"/>
        <v/>
      </c>
      <c r="W880" s="66" t="str">
        <f t="shared" si="108"/>
        <v/>
      </c>
      <c r="X880" s="62" t="str">
        <f t="shared" si="109"/>
        <v/>
      </c>
      <c r="Y880" s="45"/>
      <c r="Z880" s="44"/>
      <c r="AA880" s="41"/>
      <c r="AB880" s="39"/>
      <c r="AC880" s="37" t="str">
        <f t="shared" si="110"/>
        <v/>
      </c>
    </row>
    <row r="881" spans="2:29" x14ac:dyDescent="0.25">
      <c r="B881" s="54">
        <v>875</v>
      </c>
      <c r="C881" s="168"/>
      <c r="D881" s="51"/>
      <c r="E881" s="29"/>
      <c r="F881" s="48"/>
      <c r="G881" s="29"/>
      <c r="H881" s="187"/>
      <c r="I881" s="187"/>
      <c r="J881" s="195"/>
      <c r="K881" s="86" t="str">
        <f t="shared" si="104"/>
        <v/>
      </c>
      <c r="L881" s="57" t="str">
        <f t="shared" si="111"/>
        <v/>
      </c>
      <c r="M881" s="186"/>
      <c r="N881" s="189"/>
      <c r="O881" s="190"/>
      <c r="P881" s="190" t="str">
        <f>IF(OR(ISBLANK(V881),COUNTBLANK(V881:$V$1048576)=ROWS(V881:$V$1048576)),"",$R$2*(1+SUM(V$7:V881)))</f>
        <v/>
      </c>
      <c r="Q881" s="191"/>
      <c r="R881" s="189"/>
      <c r="S881" s="53" t="str">
        <f t="shared" si="105"/>
        <v/>
      </c>
      <c r="T881" s="63" t="str">
        <f t="shared" si="106"/>
        <v/>
      </c>
      <c r="U881" s="64" t="str">
        <f>IF(OR(ISBLANK(Trades!R881), ISBLANK(Trades!H881), ISBLANK(Trades!I881)), "", IF(Trades!H881=Trades!I881, "N/A", (Trades!R881-Trades!H881)/(Trades!H881-Trades!I881)))</f>
        <v/>
      </c>
      <c r="V881" s="65" t="str">
        <f t="shared" si="107"/>
        <v/>
      </c>
      <c r="W881" s="66" t="str">
        <f t="shared" si="108"/>
        <v/>
      </c>
      <c r="X881" s="62" t="str">
        <f t="shared" si="109"/>
        <v/>
      </c>
      <c r="Y881" s="45"/>
      <c r="Z881" s="44"/>
      <c r="AA881" s="41"/>
      <c r="AB881" s="39"/>
      <c r="AC881" s="37" t="str">
        <f t="shared" si="110"/>
        <v/>
      </c>
    </row>
    <row r="882" spans="2:29" x14ac:dyDescent="0.25">
      <c r="B882" s="54">
        <v>876</v>
      </c>
      <c r="C882" s="168"/>
      <c r="D882" s="51"/>
      <c r="E882" s="29"/>
      <c r="F882" s="48"/>
      <c r="G882" s="29"/>
      <c r="H882" s="187"/>
      <c r="I882" s="187"/>
      <c r="J882" s="195"/>
      <c r="K882" s="86" t="str">
        <f t="shared" si="104"/>
        <v/>
      </c>
      <c r="L882" s="57" t="str">
        <f t="shared" si="111"/>
        <v/>
      </c>
      <c r="M882" s="186"/>
      <c r="N882" s="189"/>
      <c r="O882" s="190"/>
      <c r="P882" s="190" t="str">
        <f>IF(OR(ISBLANK(V882),COUNTBLANK(V882:$V$1048576)=ROWS(V882:$V$1048576)),"",$R$2*(1+SUM(V$7:V882)))</f>
        <v/>
      </c>
      <c r="Q882" s="191"/>
      <c r="R882" s="189"/>
      <c r="S882" s="53" t="str">
        <f t="shared" si="105"/>
        <v/>
      </c>
      <c r="T882" s="63" t="str">
        <f t="shared" si="106"/>
        <v/>
      </c>
      <c r="U882" s="64" t="str">
        <f>IF(OR(ISBLANK(Trades!R882), ISBLANK(Trades!H882), ISBLANK(Trades!I882)), "", IF(Trades!H882=Trades!I882, "N/A", (Trades!R882-Trades!H882)/(Trades!H882-Trades!I882)))</f>
        <v/>
      </c>
      <c r="V882" s="65" t="str">
        <f t="shared" si="107"/>
        <v/>
      </c>
      <c r="W882" s="66" t="str">
        <f t="shared" si="108"/>
        <v/>
      </c>
      <c r="X882" s="62" t="str">
        <f t="shared" si="109"/>
        <v/>
      </c>
      <c r="Y882" s="45"/>
      <c r="Z882" s="44"/>
      <c r="AA882" s="41"/>
      <c r="AB882" s="39"/>
      <c r="AC882" s="37" t="str">
        <f t="shared" si="110"/>
        <v/>
      </c>
    </row>
    <row r="883" spans="2:29" x14ac:dyDescent="0.25">
      <c r="B883" s="54">
        <v>877</v>
      </c>
      <c r="C883" s="168"/>
      <c r="D883" s="51"/>
      <c r="E883" s="29"/>
      <c r="F883" s="48"/>
      <c r="G883" s="29"/>
      <c r="H883" s="187"/>
      <c r="I883" s="187"/>
      <c r="J883" s="195"/>
      <c r="K883" s="86" t="str">
        <f t="shared" si="104"/>
        <v/>
      </c>
      <c r="L883" s="57" t="str">
        <f t="shared" si="111"/>
        <v/>
      </c>
      <c r="M883" s="186"/>
      <c r="N883" s="189"/>
      <c r="O883" s="190"/>
      <c r="P883" s="190" t="str">
        <f>IF(OR(ISBLANK(V883),COUNTBLANK(V883:$V$1048576)=ROWS(V883:$V$1048576)),"",$R$2*(1+SUM(V$7:V883)))</f>
        <v/>
      </c>
      <c r="Q883" s="191"/>
      <c r="R883" s="189"/>
      <c r="S883" s="53" t="str">
        <f t="shared" si="105"/>
        <v/>
      </c>
      <c r="T883" s="63" t="str">
        <f t="shared" si="106"/>
        <v/>
      </c>
      <c r="U883" s="64" t="str">
        <f>IF(OR(ISBLANK(Trades!R883), ISBLANK(Trades!H883), ISBLANK(Trades!I883)), "", IF(Trades!H883=Trades!I883, "N/A", (Trades!R883-Trades!H883)/(Trades!H883-Trades!I883)))</f>
        <v/>
      </c>
      <c r="V883" s="65" t="str">
        <f t="shared" si="107"/>
        <v/>
      </c>
      <c r="W883" s="66" t="str">
        <f t="shared" si="108"/>
        <v/>
      </c>
      <c r="X883" s="62" t="str">
        <f t="shared" si="109"/>
        <v/>
      </c>
      <c r="Y883" s="45"/>
      <c r="Z883" s="44"/>
      <c r="AA883" s="41"/>
      <c r="AB883" s="39"/>
      <c r="AC883" s="37" t="str">
        <f t="shared" si="110"/>
        <v/>
      </c>
    </row>
    <row r="884" spans="2:29" x14ac:dyDescent="0.25">
      <c r="B884" s="54">
        <v>878</v>
      </c>
      <c r="C884" s="168"/>
      <c r="D884" s="51"/>
      <c r="E884" s="29"/>
      <c r="F884" s="48"/>
      <c r="G884" s="29"/>
      <c r="H884" s="187"/>
      <c r="I884" s="187"/>
      <c r="J884" s="195"/>
      <c r="K884" s="86" t="str">
        <f t="shared" si="104"/>
        <v/>
      </c>
      <c r="L884" s="57" t="str">
        <f t="shared" si="111"/>
        <v/>
      </c>
      <c r="M884" s="186"/>
      <c r="N884" s="189"/>
      <c r="O884" s="190"/>
      <c r="P884" s="190" t="str">
        <f>IF(OR(ISBLANK(V884),COUNTBLANK(V884:$V$1048576)=ROWS(V884:$V$1048576)),"",$R$2*(1+SUM(V$7:V884)))</f>
        <v/>
      </c>
      <c r="Q884" s="191"/>
      <c r="R884" s="189"/>
      <c r="S884" s="53" t="str">
        <f t="shared" si="105"/>
        <v/>
      </c>
      <c r="T884" s="63" t="str">
        <f t="shared" si="106"/>
        <v/>
      </c>
      <c r="U884" s="64" t="str">
        <f>IF(OR(ISBLANK(Trades!R884), ISBLANK(Trades!H884), ISBLANK(Trades!I884)), "", IF(Trades!H884=Trades!I884, "N/A", (Trades!R884-Trades!H884)/(Trades!H884-Trades!I884)))</f>
        <v/>
      </c>
      <c r="V884" s="65" t="str">
        <f t="shared" si="107"/>
        <v/>
      </c>
      <c r="W884" s="66" t="str">
        <f t="shared" si="108"/>
        <v/>
      </c>
      <c r="X884" s="62" t="str">
        <f t="shared" si="109"/>
        <v/>
      </c>
      <c r="Y884" s="45"/>
      <c r="Z884" s="44"/>
      <c r="AA884" s="41"/>
      <c r="AB884" s="39"/>
      <c r="AC884" s="37" t="str">
        <f t="shared" si="110"/>
        <v/>
      </c>
    </row>
    <row r="885" spans="2:29" x14ac:dyDescent="0.25">
      <c r="B885" s="54">
        <v>879</v>
      </c>
      <c r="C885" s="168"/>
      <c r="D885" s="51"/>
      <c r="E885" s="29"/>
      <c r="F885" s="48"/>
      <c r="G885" s="29"/>
      <c r="H885" s="187"/>
      <c r="I885" s="187"/>
      <c r="J885" s="195"/>
      <c r="K885" s="86" t="str">
        <f t="shared" si="104"/>
        <v/>
      </c>
      <c r="L885" s="57" t="str">
        <f t="shared" si="111"/>
        <v/>
      </c>
      <c r="M885" s="186"/>
      <c r="N885" s="189"/>
      <c r="O885" s="190"/>
      <c r="P885" s="190" t="str">
        <f>IF(OR(ISBLANK(V885),COUNTBLANK(V885:$V$1048576)=ROWS(V885:$V$1048576)),"",$R$2*(1+SUM(V$7:V885)))</f>
        <v/>
      </c>
      <c r="Q885" s="191"/>
      <c r="R885" s="189"/>
      <c r="S885" s="53" t="str">
        <f t="shared" si="105"/>
        <v/>
      </c>
      <c r="T885" s="63" t="str">
        <f t="shared" si="106"/>
        <v/>
      </c>
      <c r="U885" s="64" t="str">
        <f>IF(OR(ISBLANK(Trades!R885), ISBLANK(Trades!H885), ISBLANK(Trades!I885)), "", IF(Trades!H885=Trades!I885, "N/A", (Trades!R885-Trades!H885)/(Trades!H885-Trades!I885)))</f>
        <v/>
      </c>
      <c r="V885" s="65" t="str">
        <f t="shared" si="107"/>
        <v/>
      </c>
      <c r="W885" s="66" t="str">
        <f t="shared" si="108"/>
        <v/>
      </c>
      <c r="X885" s="62" t="str">
        <f t="shared" si="109"/>
        <v/>
      </c>
      <c r="Y885" s="45"/>
      <c r="Z885" s="44"/>
      <c r="AA885" s="41"/>
      <c r="AB885" s="39"/>
      <c r="AC885" s="37" t="str">
        <f t="shared" si="110"/>
        <v/>
      </c>
    </row>
    <row r="886" spans="2:29" x14ac:dyDescent="0.25">
      <c r="B886" s="54">
        <v>880</v>
      </c>
      <c r="C886" s="168"/>
      <c r="D886" s="51"/>
      <c r="E886" s="29"/>
      <c r="F886" s="48"/>
      <c r="G886" s="29"/>
      <c r="H886" s="187"/>
      <c r="I886" s="187"/>
      <c r="J886" s="195"/>
      <c r="K886" s="86" t="str">
        <f t="shared" si="104"/>
        <v/>
      </c>
      <c r="L886" s="57" t="str">
        <f t="shared" si="111"/>
        <v/>
      </c>
      <c r="M886" s="186"/>
      <c r="N886" s="189"/>
      <c r="O886" s="190"/>
      <c r="P886" s="190" t="str">
        <f>IF(OR(ISBLANK(V886),COUNTBLANK(V886:$V$1048576)=ROWS(V886:$V$1048576)),"",$R$2*(1+SUM(V$7:V886)))</f>
        <v/>
      </c>
      <c r="Q886" s="191"/>
      <c r="R886" s="189"/>
      <c r="S886" s="53" t="str">
        <f t="shared" si="105"/>
        <v/>
      </c>
      <c r="T886" s="63" t="str">
        <f t="shared" si="106"/>
        <v/>
      </c>
      <c r="U886" s="64" t="str">
        <f>IF(OR(ISBLANK(Trades!R886), ISBLANK(Trades!H886), ISBLANK(Trades!I886)), "", IF(Trades!H886=Trades!I886, "N/A", (Trades!R886-Trades!H886)/(Trades!H886-Trades!I886)))</f>
        <v/>
      </c>
      <c r="V886" s="65" t="str">
        <f t="shared" si="107"/>
        <v/>
      </c>
      <c r="W886" s="66" t="str">
        <f t="shared" si="108"/>
        <v/>
      </c>
      <c r="X886" s="62" t="str">
        <f t="shared" si="109"/>
        <v/>
      </c>
      <c r="Y886" s="45"/>
      <c r="Z886" s="44"/>
      <c r="AA886" s="41"/>
      <c r="AB886" s="39"/>
      <c r="AC886" s="37" t="str">
        <f t="shared" si="110"/>
        <v/>
      </c>
    </row>
    <row r="887" spans="2:29" x14ac:dyDescent="0.25">
      <c r="B887" s="54">
        <v>881</v>
      </c>
      <c r="C887" s="168"/>
      <c r="D887" s="51"/>
      <c r="E887" s="29"/>
      <c r="F887" s="48"/>
      <c r="G887" s="29"/>
      <c r="H887" s="187"/>
      <c r="I887" s="187"/>
      <c r="J887" s="195"/>
      <c r="K887" s="86" t="str">
        <f t="shared" si="104"/>
        <v/>
      </c>
      <c r="L887" s="57" t="str">
        <f t="shared" si="111"/>
        <v/>
      </c>
      <c r="M887" s="186"/>
      <c r="N887" s="189"/>
      <c r="O887" s="190"/>
      <c r="P887" s="190" t="str">
        <f>IF(OR(ISBLANK(V887),COUNTBLANK(V887:$V$1048576)=ROWS(V887:$V$1048576)),"",$R$2*(1+SUM(V$7:V887)))</f>
        <v/>
      </c>
      <c r="Q887" s="191"/>
      <c r="R887" s="189"/>
      <c r="S887" s="53" t="str">
        <f t="shared" si="105"/>
        <v/>
      </c>
      <c r="T887" s="63" t="str">
        <f t="shared" si="106"/>
        <v/>
      </c>
      <c r="U887" s="64" t="str">
        <f>IF(OR(ISBLANK(Trades!R887), ISBLANK(Trades!H887), ISBLANK(Trades!I887)), "", IF(Trades!H887=Trades!I887, "N/A", (Trades!R887-Trades!H887)/(Trades!H887-Trades!I887)))</f>
        <v/>
      </c>
      <c r="V887" s="65" t="str">
        <f t="shared" si="107"/>
        <v/>
      </c>
      <c r="W887" s="66" t="str">
        <f t="shared" si="108"/>
        <v/>
      </c>
      <c r="X887" s="62" t="str">
        <f t="shared" si="109"/>
        <v/>
      </c>
      <c r="Y887" s="45"/>
      <c r="Z887" s="44"/>
      <c r="AA887" s="41"/>
      <c r="AB887" s="39"/>
      <c r="AC887" s="37" t="str">
        <f t="shared" si="110"/>
        <v/>
      </c>
    </row>
    <row r="888" spans="2:29" x14ac:dyDescent="0.25">
      <c r="B888" s="54">
        <v>882</v>
      </c>
      <c r="C888" s="168"/>
      <c r="D888" s="51"/>
      <c r="E888" s="29"/>
      <c r="F888" s="48"/>
      <c r="G888" s="29"/>
      <c r="H888" s="187"/>
      <c r="I888" s="187"/>
      <c r="J888" s="195"/>
      <c r="K888" s="86" t="str">
        <f t="shared" si="104"/>
        <v/>
      </c>
      <c r="L888" s="57" t="str">
        <f t="shared" si="111"/>
        <v/>
      </c>
      <c r="M888" s="186"/>
      <c r="N888" s="189"/>
      <c r="O888" s="190"/>
      <c r="P888" s="190" t="str">
        <f>IF(OR(ISBLANK(V888),COUNTBLANK(V888:$V$1048576)=ROWS(V888:$V$1048576)),"",$R$2*(1+SUM(V$7:V888)))</f>
        <v/>
      </c>
      <c r="Q888" s="191"/>
      <c r="R888" s="189"/>
      <c r="S888" s="53" t="str">
        <f t="shared" si="105"/>
        <v/>
      </c>
      <c r="T888" s="63" t="str">
        <f t="shared" si="106"/>
        <v/>
      </c>
      <c r="U888" s="64" t="str">
        <f>IF(OR(ISBLANK(Trades!R888), ISBLANK(Trades!H888), ISBLANK(Trades!I888)), "", IF(Trades!H888=Trades!I888, "N/A", (Trades!R888-Trades!H888)/(Trades!H888-Trades!I888)))</f>
        <v/>
      </c>
      <c r="V888" s="65" t="str">
        <f t="shared" si="107"/>
        <v/>
      </c>
      <c r="W888" s="66" t="str">
        <f t="shared" si="108"/>
        <v/>
      </c>
      <c r="X888" s="62" t="str">
        <f t="shared" si="109"/>
        <v/>
      </c>
      <c r="Y888" s="45"/>
      <c r="Z888" s="44"/>
      <c r="AA888" s="41"/>
      <c r="AB888" s="39"/>
      <c r="AC888" s="37" t="str">
        <f t="shared" si="110"/>
        <v/>
      </c>
    </row>
    <row r="889" spans="2:29" x14ac:dyDescent="0.25">
      <c r="B889" s="54">
        <v>883</v>
      </c>
      <c r="C889" s="168"/>
      <c r="D889" s="51"/>
      <c r="E889" s="29"/>
      <c r="F889" s="48"/>
      <c r="G889" s="29"/>
      <c r="H889" s="187"/>
      <c r="I889" s="187"/>
      <c r="J889" s="195"/>
      <c r="K889" s="86" t="str">
        <f t="shared" si="104"/>
        <v/>
      </c>
      <c r="L889" s="57" t="str">
        <f t="shared" si="111"/>
        <v/>
      </c>
      <c r="M889" s="186"/>
      <c r="N889" s="189"/>
      <c r="O889" s="190"/>
      <c r="P889" s="190" t="str">
        <f>IF(OR(ISBLANK(V889),COUNTBLANK(V889:$V$1048576)=ROWS(V889:$V$1048576)),"",$R$2*(1+SUM(V$7:V889)))</f>
        <v/>
      </c>
      <c r="Q889" s="191"/>
      <c r="R889" s="189"/>
      <c r="S889" s="53" t="str">
        <f t="shared" si="105"/>
        <v/>
      </c>
      <c r="T889" s="63" t="str">
        <f t="shared" si="106"/>
        <v/>
      </c>
      <c r="U889" s="64" t="str">
        <f>IF(OR(ISBLANK(Trades!R889), ISBLANK(Trades!H889), ISBLANK(Trades!I889)), "", IF(Trades!H889=Trades!I889, "N/A", (Trades!R889-Trades!H889)/(Trades!H889-Trades!I889)))</f>
        <v/>
      </c>
      <c r="V889" s="65" t="str">
        <f t="shared" si="107"/>
        <v/>
      </c>
      <c r="W889" s="66" t="str">
        <f t="shared" si="108"/>
        <v/>
      </c>
      <c r="X889" s="62" t="str">
        <f t="shared" si="109"/>
        <v/>
      </c>
      <c r="Y889" s="45"/>
      <c r="Z889" s="44"/>
      <c r="AA889" s="41"/>
      <c r="AB889" s="39"/>
      <c r="AC889" s="37" t="str">
        <f t="shared" si="110"/>
        <v/>
      </c>
    </row>
    <row r="890" spans="2:29" x14ac:dyDescent="0.25">
      <c r="B890" s="54">
        <v>884</v>
      </c>
      <c r="C890" s="168"/>
      <c r="D890" s="51"/>
      <c r="E890" s="29"/>
      <c r="F890" s="48"/>
      <c r="G890" s="29"/>
      <c r="H890" s="187"/>
      <c r="I890" s="187"/>
      <c r="J890" s="195"/>
      <c r="K890" s="86" t="str">
        <f t="shared" si="104"/>
        <v/>
      </c>
      <c r="L890" s="57" t="str">
        <f t="shared" si="111"/>
        <v/>
      </c>
      <c r="M890" s="186"/>
      <c r="N890" s="189"/>
      <c r="O890" s="190"/>
      <c r="P890" s="190" t="str">
        <f>IF(OR(ISBLANK(V890),COUNTBLANK(V890:$V$1048576)=ROWS(V890:$V$1048576)),"",$R$2*(1+SUM(V$7:V890)))</f>
        <v/>
      </c>
      <c r="Q890" s="191"/>
      <c r="R890" s="189"/>
      <c r="S890" s="53" t="str">
        <f t="shared" si="105"/>
        <v/>
      </c>
      <c r="T890" s="63" t="str">
        <f t="shared" si="106"/>
        <v/>
      </c>
      <c r="U890" s="64" t="str">
        <f>IF(OR(ISBLANK(Trades!R890), ISBLANK(Trades!H890), ISBLANK(Trades!I890)), "", IF(Trades!H890=Trades!I890, "N/A", (Trades!R890-Trades!H890)/(Trades!H890-Trades!I890)))</f>
        <v/>
      </c>
      <c r="V890" s="65" t="str">
        <f t="shared" si="107"/>
        <v/>
      </c>
      <c r="W890" s="66" t="str">
        <f t="shared" si="108"/>
        <v/>
      </c>
      <c r="X890" s="62" t="str">
        <f t="shared" si="109"/>
        <v/>
      </c>
      <c r="Y890" s="45"/>
      <c r="Z890" s="44"/>
      <c r="AA890" s="41"/>
      <c r="AB890" s="39"/>
      <c r="AC890" s="37" t="str">
        <f t="shared" si="110"/>
        <v/>
      </c>
    </row>
    <row r="891" spans="2:29" x14ac:dyDescent="0.25">
      <c r="B891" s="54">
        <v>885</v>
      </c>
      <c r="C891" s="168"/>
      <c r="D891" s="51"/>
      <c r="E891" s="29"/>
      <c r="F891" s="48"/>
      <c r="G891" s="29"/>
      <c r="H891" s="187"/>
      <c r="I891" s="187"/>
      <c r="J891" s="195"/>
      <c r="K891" s="86" t="str">
        <f t="shared" si="104"/>
        <v/>
      </c>
      <c r="L891" s="57" t="str">
        <f t="shared" si="111"/>
        <v/>
      </c>
      <c r="M891" s="186"/>
      <c r="N891" s="189"/>
      <c r="O891" s="190"/>
      <c r="P891" s="190" t="str">
        <f>IF(OR(ISBLANK(V891),COUNTBLANK(V891:$V$1048576)=ROWS(V891:$V$1048576)),"",$R$2*(1+SUM(V$7:V891)))</f>
        <v/>
      </c>
      <c r="Q891" s="191"/>
      <c r="R891" s="189"/>
      <c r="S891" s="53" t="str">
        <f t="shared" si="105"/>
        <v/>
      </c>
      <c r="T891" s="63" t="str">
        <f t="shared" si="106"/>
        <v/>
      </c>
      <c r="U891" s="64" t="str">
        <f>IF(OR(ISBLANK(Trades!R891), ISBLANK(Trades!H891), ISBLANK(Trades!I891)), "", IF(Trades!H891=Trades!I891, "N/A", (Trades!R891-Trades!H891)/(Trades!H891-Trades!I891)))</f>
        <v/>
      </c>
      <c r="V891" s="65" t="str">
        <f t="shared" si="107"/>
        <v/>
      </c>
      <c r="W891" s="66" t="str">
        <f t="shared" si="108"/>
        <v/>
      </c>
      <c r="X891" s="62" t="str">
        <f t="shared" si="109"/>
        <v/>
      </c>
      <c r="Y891" s="45"/>
      <c r="Z891" s="44"/>
      <c r="AA891" s="41"/>
      <c r="AB891" s="39"/>
      <c r="AC891" s="37" t="str">
        <f t="shared" si="110"/>
        <v/>
      </c>
    </row>
    <row r="892" spans="2:29" x14ac:dyDescent="0.25">
      <c r="B892" s="54">
        <v>886</v>
      </c>
      <c r="C892" s="168"/>
      <c r="D892" s="51"/>
      <c r="E892" s="29"/>
      <c r="F892" s="48"/>
      <c r="G892" s="29"/>
      <c r="H892" s="187"/>
      <c r="I892" s="187"/>
      <c r="J892" s="195"/>
      <c r="K892" s="86" t="str">
        <f t="shared" si="104"/>
        <v/>
      </c>
      <c r="L892" s="57" t="str">
        <f t="shared" si="111"/>
        <v/>
      </c>
      <c r="M892" s="186"/>
      <c r="N892" s="189"/>
      <c r="O892" s="190"/>
      <c r="P892" s="190" t="str">
        <f>IF(OR(ISBLANK(V892),COUNTBLANK(V892:$V$1048576)=ROWS(V892:$V$1048576)),"",$R$2*(1+SUM(V$7:V892)))</f>
        <v/>
      </c>
      <c r="Q892" s="191"/>
      <c r="R892" s="189"/>
      <c r="S892" s="53" t="str">
        <f t="shared" si="105"/>
        <v/>
      </c>
      <c r="T892" s="63" t="str">
        <f t="shared" si="106"/>
        <v/>
      </c>
      <c r="U892" s="64" t="str">
        <f>IF(OR(ISBLANK(Trades!R892), ISBLANK(Trades!H892), ISBLANK(Trades!I892)), "", IF(Trades!H892=Trades!I892, "N/A", (Trades!R892-Trades!H892)/(Trades!H892-Trades!I892)))</f>
        <v/>
      </c>
      <c r="V892" s="65" t="str">
        <f t="shared" si="107"/>
        <v/>
      </c>
      <c r="W892" s="66" t="str">
        <f t="shared" si="108"/>
        <v/>
      </c>
      <c r="X892" s="62" t="str">
        <f t="shared" si="109"/>
        <v/>
      </c>
      <c r="Y892" s="45"/>
      <c r="Z892" s="44"/>
      <c r="AA892" s="41"/>
      <c r="AB892" s="39"/>
      <c r="AC892" s="37" t="str">
        <f t="shared" si="110"/>
        <v/>
      </c>
    </row>
    <row r="893" spans="2:29" x14ac:dyDescent="0.25">
      <c r="B893" s="54">
        <v>887</v>
      </c>
      <c r="C893" s="168"/>
      <c r="D893" s="51"/>
      <c r="E893" s="29"/>
      <c r="F893" s="48"/>
      <c r="G893" s="29"/>
      <c r="H893" s="187"/>
      <c r="I893" s="187"/>
      <c r="J893" s="195"/>
      <c r="K893" s="86" t="str">
        <f t="shared" si="104"/>
        <v/>
      </c>
      <c r="L893" s="57" t="str">
        <f t="shared" si="111"/>
        <v/>
      </c>
      <c r="M893" s="186"/>
      <c r="N893" s="189"/>
      <c r="O893" s="190"/>
      <c r="P893" s="190" t="str">
        <f>IF(OR(ISBLANK(V893),COUNTBLANK(V893:$V$1048576)=ROWS(V893:$V$1048576)),"",$R$2*(1+SUM(V$7:V893)))</f>
        <v/>
      </c>
      <c r="Q893" s="191"/>
      <c r="R893" s="189"/>
      <c r="S893" s="53" t="str">
        <f t="shared" si="105"/>
        <v/>
      </c>
      <c r="T893" s="63" t="str">
        <f t="shared" si="106"/>
        <v/>
      </c>
      <c r="U893" s="64" t="str">
        <f>IF(OR(ISBLANK(Trades!R893), ISBLANK(Trades!H893), ISBLANK(Trades!I893)), "", IF(Trades!H893=Trades!I893, "N/A", (Trades!R893-Trades!H893)/(Trades!H893-Trades!I893)))</f>
        <v/>
      </c>
      <c r="V893" s="65" t="str">
        <f t="shared" si="107"/>
        <v/>
      </c>
      <c r="W893" s="66" t="str">
        <f t="shared" si="108"/>
        <v/>
      </c>
      <c r="X893" s="62" t="str">
        <f t="shared" si="109"/>
        <v/>
      </c>
      <c r="Y893" s="45"/>
      <c r="Z893" s="44"/>
      <c r="AA893" s="41"/>
      <c r="AB893" s="39"/>
      <c r="AC893" s="37" t="str">
        <f t="shared" si="110"/>
        <v/>
      </c>
    </row>
    <row r="894" spans="2:29" x14ac:dyDescent="0.25">
      <c r="B894" s="54">
        <v>888</v>
      </c>
      <c r="C894" s="168"/>
      <c r="D894" s="51"/>
      <c r="E894" s="29"/>
      <c r="F894" s="48"/>
      <c r="G894" s="29"/>
      <c r="H894" s="187"/>
      <c r="I894" s="187"/>
      <c r="J894" s="195"/>
      <c r="K894" s="86" t="str">
        <f t="shared" si="104"/>
        <v/>
      </c>
      <c r="L894" s="57" t="str">
        <f t="shared" si="111"/>
        <v/>
      </c>
      <c r="M894" s="186"/>
      <c r="N894" s="189"/>
      <c r="O894" s="190"/>
      <c r="P894" s="190" t="str">
        <f>IF(OR(ISBLANK(V894),COUNTBLANK(V894:$V$1048576)=ROWS(V894:$V$1048576)),"",$R$2*(1+SUM(V$7:V894)))</f>
        <v/>
      </c>
      <c r="Q894" s="191"/>
      <c r="R894" s="189"/>
      <c r="S894" s="53" t="str">
        <f t="shared" si="105"/>
        <v/>
      </c>
      <c r="T894" s="63" t="str">
        <f t="shared" si="106"/>
        <v/>
      </c>
      <c r="U894" s="64" t="str">
        <f>IF(OR(ISBLANK(Trades!R894), ISBLANK(Trades!H894), ISBLANK(Trades!I894)), "", IF(Trades!H894=Trades!I894, "N/A", (Trades!R894-Trades!H894)/(Trades!H894-Trades!I894)))</f>
        <v/>
      </c>
      <c r="V894" s="65" t="str">
        <f t="shared" si="107"/>
        <v/>
      </c>
      <c r="W894" s="66" t="str">
        <f t="shared" si="108"/>
        <v/>
      </c>
      <c r="X894" s="62" t="str">
        <f t="shared" si="109"/>
        <v/>
      </c>
      <c r="Y894" s="45"/>
      <c r="Z894" s="44"/>
      <c r="AA894" s="41"/>
      <c r="AB894" s="39"/>
      <c r="AC894" s="37" t="str">
        <f t="shared" si="110"/>
        <v/>
      </c>
    </row>
    <row r="895" spans="2:29" x14ac:dyDescent="0.25">
      <c r="B895" s="54">
        <v>889</v>
      </c>
      <c r="C895" s="168"/>
      <c r="D895" s="51"/>
      <c r="E895" s="29"/>
      <c r="F895" s="48"/>
      <c r="G895" s="29"/>
      <c r="H895" s="187"/>
      <c r="I895" s="187"/>
      <c r="J895" s="195"/>
      <c r="K895" s="86" t="str">
        <f t="shared" si="104"/>
        <v/>
      </c>
      <c r="L895" s="57" t="str">
        <f t="shared" si="111"/>
        <v/>
      </c>
      <c r="M895" s="186"/>
      <c r="N895" s="189"/>
      <c r="O895" s="190"/>
      <c r="P895" s="190" t="str">
        <f>IF(OR(ISBLANK(V895),COUNTBLANK(V895:$V$1048576)=ROWS(V895:$V$1048576)),"",$R$2*(1+SUM(V$7:V895)))</f>
        <v/>
      </c>
      <c r="Q895" s="191"/>
      <c r="R895" s="189"/>
      <c r="S895" s="53" t="str">
        <f t="shared" si="105"/>
        <v/>
      </c>
      <c r="T895" s="63" t="str">
        <f t="shared" si="106"/>
        <v/>
      </c>
      <c r="U895" s="64" t="str">
        <f>IF(OR(ISBLANK(Trades!R895), ISBLANK(Trades!H895), ISBLANK(Trades!I895)), "", IF(Trades!H895=Trades!I895, "N/A", (Trades!R895-Trades!H895)/(Trades!H895-Trades!I895)))</f>
        <v/>
      </c>
      <c r="V895" s="65" t="str">
        <f t="shared" si="107"/>
        <v/>
      </c>
      <c r="W895" s="66" t="str">
        <f t="shared" si="108"/>
        <v/>
      </c>
      <c r="X895" s="62" t="str">
        <f t="shared" si="109"/>
        <v/>
      </c>
      <c r="Y895" s="45"/>
      <c r="Z895" s="44"/>
      <c r="AA895" s="41"/>
      <c r="AB895" s="39"/>
      <c r="AC895" s="37" t="str">
        <f t="shared" si="110"/>
        <v/>
      </c>
    </row>
    <row r="896" spans="2:29" x14ac:dyDescent="0.25">
      <c r="B896" s="54">
        <v>890</v>
      </c>
      <c r="C896" s="168"/>
      <c r="D896" s="51"/>
      <c r="E896" s="29"/>
      <c r="F896" s="48"/>
      <c r="G896" s="29"/>
      <c r="H896" s="187"/>
      <c r="I896" s="187"/>
      <c r="J896" s="195"/>
      <c r="K896" s="86" t="str">
        <f t="shared" si="104"/>
        <v/>
      </c>
      <c r="L896" s="57" t="str">
        <f t="shared" si="111"/>
        <v/>
      </c>
      <c r="M896" s="186"/>
      <c r="N896" s="189"/>
      <c r="O896" s="190"/>
      <c r="P896" s="190" t="str">
        <f>IF(OR(ISBLANK(V896),COUNTBLANK(V896:$V$1048576)=ROWS(V896:$V$1048576)),"",$R$2*(1+SUM(V$7:V896)))</f>
        <v/>
      </c>
      <c r="Q896" s="191"/>
      <c r="R896" s="189"/>
      <c r="S896" s="53" t="str">
        <f t="shared" si="105"/>
        <v/>
      </c>
      <c r="T896" s="63" t="str">
        <f t="shared" si="106"/>
        <v/>
      </c>
      <c r="U896" s="64" t="str">
        <f>IF(OR(ISBLANK(Trades!R896), ISBLANK(Trades!H896), ISBLANK(Trades!I896)), "", IF(Trades!H896=Trades!I896, "N/A", (Trades!R896-Trades!H896)/(Trades!H896-Trades!I896)))</f>
        <v/>
      </c>
      <c r="V896" s="65" t="str">
        <f t="shared" si="107"/>
        <v/>
      </c>
      <c r="W896" s="66" t="str">
        <f t="shared" si="108"/>
        <v/>
      </c>
      <c r="X896" s="62" t="str">
        <f t="shared" si="109"/>
        <v/>
      </c>
      <c r="Y896" s="45"/>
      <c r="Z896" s="44"/>
      <c r="AA896" s="41"/>
      <c r="AB896" s="39"/>
      <c r="AC896" s="37" t="str">
        <f t="shared" si="110"/>
        <v/>
      </c>
    </row>
    <row r="897" spans="2:29" x14ac:dyDescent="0.25">
      <c r="B897" s="54">
        <v>891</v>
      </c>
      <c r="C897" s="168"/>
      <c r="D897" s="51"/>
      <c r="E897" s="29"/>
      <c r="F897" s="48"/>
      <c r="G897" s="29"/>
      <c r="H897" s="187"/>
      <c r="I897" s="187"/>
      <c r="J897" s="195"/>
      <c r="K897" s="86" t="str">
        <f t="shared" si="104"/>
        <v/>
      </c>
      <c r="L897" s="57" t="str">
        <f t="shared" si="111"/>
        <v/>
      </c>
      <c r="M897" s="186"/>
      <c r="N897" s="189"/>
      <c r="O897" s="190"/>
      <c r="P897" s="190" t="str">
        <f>IF(OR(ISBLANK(V897),COUNTBLANK(V897:$V$1048576)=ROWS(V897:$V$1048576)),"",$R$2*(1+SUM(V$7:V897)))</f>
        <v/>
      </c>
      <c r="Q897" s="191"/>
      <c r="R897" s="189"/>
      <c r="S897" s="53" t="str">
        <f t="shared" si="105"/>
        <v/>
      </c>
      <c r="T897" s="63" t="str">
        <f t="shared" si="106"/>
        <v/>
      </c>
      <c r="U897" s="64" t="str">
        <f>IF(OR(ISBLANK(Trades!R897), ISBLANK(Trades!H897), ISBLANK(Trades!I897)), "", IF(Trades!H897=Trades!I897, "N/A", (Trades!R897-Trades!H897)/(Trades!H897-Trades!I897)))</f>
        <v/>
      </c>
      <c r="V897" s="65" t="str">
        <f t="shared" si="107"/>
        <v/>
      </c>
      <c r="W897" s="66" t="str">
        <f t="shared" si="108"/>
        <v/>
      </c>
      <c r="X897" s="62" t="str">
        <f t="shared" si="109"/>
        <v/>
      </c>
      <c r="Y897" s="45"/>
      <c r="Z897" s="44"/>
      <c r="AA897" s="41"/>
      <c r="AB897" s="39"/>
      <c r="AC897" s="37" t="str">
        <f t="shared" si="110"/>
        <v/>
      </c>
    </row>
    <row r="898" spans="2:29" x14ac:dyDescent="0.25">
      <c r="B898" s="54">
        <v>892</v>
      </c>
      <c r="C898" s="168"/>
      <c r="D898" s="51"/>
      <c r="E898" s="29"/>
      <c r="F898" s="48"/>
      <c r="G898" s="29"/>
      <c r="H898" s="187"/>
      <c r="I898" s="187"/>
      <c r="J898" s="195"/>
      <c r="K898" s="86" t="str">
        <f t="shared" si="104"/>
        <v/>
      </c>
      <c r="L898" s="57" t="str">
        <f t="shared" si="111"/>
        <v/>
      </c>
      <c r="M898" s="186"/>
      <c r="N898" s="189"/>
      <c r="O898" s="190"/>
      <c r="P898" s="190" t="str">
        <f>IF(OR(ISBLANK(V898),COUNTBLANK(V898:$V$1048576)=ROWS(V898:$V$1048576)),"",$R$2*(1+SUM(V$7:V898)))</f>
        <v/>
      </c>
      <c r="Q898" s="191"/>
      <c r="R898" s="189"/>
      <c r="S898" s="53" t="str">
        <f t="shared" si="105"/>
        <v/>
      </c>
      <c r="T898" s="63" t="str">
        <f t="shared" si="106"/>
        <v/>
      </c>
      <c r="U898" s="64" t="str">
        <f>IF(OR(ISBLANK(Trades!R898), ISBLANK(Trades!H898), ISBLANK(Trades!I898)), "", IF(Trades!H898=Trades!I898, "N/A", (Trades!R898-Trades!H898)/(Trades!H898-Trades!I898)))</f>
        <v/>
      </c>
      <c r="V898" s="65" t="str">
        <f t="shared" si="107"/>
        <v/>
      </c>
      <c r="W898" s="66" t="str">
        <f t="shared" si="108"/>
        <v/>
      </c>
      <c r="X898" s="62" t="str">
        <f t="shared" si="109"/>
        <v/>
      </c>
      <c r="Y898" s="45"/>
      <c r="Z898" s="44"/>
      <c r="AA898" s="41"/>
      <c r="AB898" s="39"/>
      <c r="AC898" s="37" t="str">
        <f t="shared" si="110"/>
        <v/>
      </c>
    </row>
    <row r="899" spans="2:29" x14ac:dyDescent="0.25">
      <c r="B899" s="54">
        <v>893</v>
      </c>
      <c r="C899" s="168"/>
      <c r="D899" s="51"/>
      <c r="E899" s="29"/>
      <c r="F899" s="48"/>
      <c r="G899" s="29"/>
      <c r="H899" s="187"/>
      <c r="I899" s="187"/>
      <c r="J899" s="195"/>
      <c r="K899" s="86" t="str">
        <f t="shared" si="104"/>
        <v/>
      </c>
      <c r="L899" s="57" t="str">
        <f t="shared" si="111"/>
        <v/>
      </c>
      <c r="M899" s="186"/>
      <c r="N899" s="189"/>
      <c r="O899" s="190"/>
      <c r="P899" s="190" t="str">
        <f>IF(OR(ISBLANK(V899),COUNTBLANK(V899:$V$1048576)=ROWS(V899:$V$1048576)),"",$R$2*(1+SUM(V$7:V899)))</f>
        <v/>
      </c>
      <c r="Q899" s="191"/>
      <c r="R899" s="189"/>
      <c r="S899" s="53" t="str">
        <f t="shared" si="105"/>
        <v/>
      </c>
      <c r="T899" s="63" t="str">
        <f t="shared" si="106"/>
        <v/>
      </c>
      <c r="U899" s="64" t="str">
        <f>IF(OR(ISBLANK(Trades!R899), ISBLANK(Trades!H899), ISBLANK(Trades!I899)), "", IF(Trades!H899=Trades!I899, "N/A", (Trades!R899-Trades!H899)/(Trades!H899-Trades!I899)))</f>
        <v/>
      </c>
      <c r="V899" s="65" t="str">
        <f t="shared" si="107"/>
        <v/>
      </c>
      <c r="W899" s="66" t="str">
        <f t="shared" si="108"/>
        <v/>
      </c>
      <c r="X899" s="62" t="str">
        <f t="shared" si="109"/>
        <v/>
      </c>
      <c r="Y899" s="45"/>
      <c r="Z899" s="44"/>
      <c r="AA899" s="41"/>
      <c r="AB899" s="39"/>
      <c r="AC899" s="37" t="str">
        <f t="shared" si="110"/>
        <v/>
      </c>
    </row>
    <row r="900" spans="2:29" x14ac:dyDescent="0.25">
      <c r="B900" s="54">
        <v>894</v>
      </c>
      <c r="C900" s="168"/>
      <c r="D900" s="51"/>
      <c r="E900" s="29"/>
      <c r="F900" s="48"/>
      <c r="G900" s="29"/>
      <c r="H900" s="187"/>
      <c r="I900" s="187"/>
      <c r="J900" s="195"/>
      <c r="K900" s="86" t="str">
        <f t="shared" si="104"/>
        <v/>
      </c>
      <c r="L900" s="57" t="str">
        <f t="shared" si="111"/>
        <v/>
      </c>
      <c r="M900" s="186"/>
      <c r="N900" s="189"/>
      <c r="O900" s="190"/>
      <c r="P900" s="190" t="str">
        <f>IF(OR(ISBLANK(V900),COUNTBLANK(V900:$V$1048576)=ROWS(V900:$V$1048576)),"",$R$2*(1+SUM(V$7:V900)))</f>
        <v/>
      </c>
      <c r="Q900" s="191"/>
      <c r="R900" s="189"/>
      <c r="S900" s="53" t="str">
        <f t="shared" si="105"/>
        <v/>
      </c>
      <c r="T900" s="63" t="str">
        <f t="shared" si="106"/>
        <v/>
      </c>
      <c r="U900" s="64" t="str">
        <f>IF(OR(ISBLANK(Trades!R900), ISBLANK(Trades!H900), ISBLANK(Trades!I900)), "", IF(Trades!H900=Trades!I900, "N/A", (Trades!R900-Trades!H900)/(Trades!H900-Trades!I900)))</f>
        <v/>
      </c>
      <c r="V900" s="65" t="str">
        <f t="shared" si="107"/>
        <v/>
      </c>
      <c r="W900" s="66" t="str">
        <f t="shared" si="108"/>
        <v/>
      </c>
      <c r="X900" s="62" t="str">
        <f t="shared" si="109"/>
        <v/>
      </c>
      <c r="Y900" s="45"/>
      <c r="Z900" s="44"/>
      <c r="AA900" s="41"/>
      <c r="AB900" s="39"/>
      <c r="AC900" s="37" t="str">
        <f t="shared" si="110"/>
        <v/>
      </c>
    </row>
    <row r="901" spans="2:29" x14ac:dyDescent="0.25">
      <c r="B901" s="54">
        <v>895</v>
      </c>
      <c r="C901" s="168"/>
      <c r="D901" s="51"/>
      <c r="E901" s="29"/>
      <c r="F901" s="48"/>
      <c r="G901" s="29"/>
      <c r="H901" s="187"/>
      <c r="I901" s="187"/>
      <c r="J901" s="195"/>
      <c r="K901" s="86" t="str">
        <f t="shared" si="104"/>
        <v/>
      </c>
      <c r="L901" s="57" t="str">
        <f t="shared" si="111"/>
        <v/>
      </c>
      <c r="M901" s="186"/>
      <c r="N901" s="189"/>
      <c r="O901" s="190"/>
      <c r="P901" s="190" t="str">
        <f>IF(OR(ISBLANK(V901),COUNTBLANK(V901:$V$1048576)=ROWS(V901:$V$1048576)),"",$R$2*(1+SUM(V$7:V901)))</f>
        <v/>
      </c>
      <c r="Q901" s="191"/>
      <c r="R901" s="189"/>
      <c r="S901" s="53" t="str">
        <f t="shared" si="105"/>
        <v/>
      </c>
      <c r="T901" s="63" t="str">
        <f t="shared" si="106"/>
        <v/>
      </c>
      <c r="U901" s="64" t="str">
        <f>IF(OR(ISBLANK(Trades!R901), ISBLANK(Trades!H901), ISBLANK(Trades!I901)), "", IF(Trades!H901=Trades!I901, "N/A", (Trades!R901-Trades!H901)/(Trades!H901-Trades!I901)))</f>
        <v/>
      </c>
      <c r="V901" s="65" t="str">
        <f t="shared" si="107"/>
        <v/>
      </c>
      <c r="W901" s="66" t="str">
        <f t="shared" si="108"/>
        <v/>
      </c>
      <c r="X901" s="62" t="str">
        <f t="shared" si="109"/>
        <v/>
      </c>
      <c r="Y901" s="45"/>
      <c r="Z901" s="44"/>
      <c r="AA901" s="41"/>
      <c r="AB901" s="39"/>
      <c r="AC901" s="37" t="str">
        <f t="shared" si="110"/>
        <v/>
      </c>
    </row>
    <row r="902" spans="2:29" x14ac:dyDescent="0.25">
      <c r="B902" s="54">
        <v>896</v>
      </c>
      <c r="C902" s="168"/>
      <c r="D902" s="51"/>
      <c r="E902" s="29"/>
      <c r="F902" s="48"/>
      <c r="G902" s="29"/>
      <c r="H902" s="187"/>
      <c r="I902" s="187"/>
      <c r="J902" s="195"/>
      <c r="K902" s="86" t="str">
        <f t="shared" si="104"/>
        <v/>
      </c>
      <c r="L902" s="57" t="str">
        <f t="shared" si="111"/>
        <v/>
      </c>
      <c r="M902" s="186"/>
      <c r="N902" s="189"/>
      <c r="O902" s="190"/>
      <c r="P902" s="190" t="str">
        <f>IF(OR(ISBLANK(V902),COUNTBLANK(V902:$V$1048576)=ROWS(V902:$V$1048576)),"",$R$2*(1+SUM(V$7:V902)))</f>
        <v/>
      </c>
      <c r="Q902" s="191"/>
      <c r="R902" s="189"/>
      <c r="S902" s="53" t="str">
        <f t="shared" si="105"/>
        <v/>
      </c>
      <c r="T902" s="63" t="str">
        <f t="shared" si="106"/>
        <v/>
      </c>
      <c r="U902" s="64" t="str">
        <f>IF(OR(ISBLANK(Trades!R902), ISBLANK(Trades!H902), ISBLANK(Trades!I902)), "", IF(Trades!H902=Trades!I902, "N/A", (Trades!R902-Trades!H902)/(Trades!H902-Trades!I902)))</f>
        <v/>
      </c>
      <c r="V902" s="65" t="str">
        <f t="shared" si="107"/>
        <v/>
      </c>
      <c r="W902" s="66" t="str">
        <f t="shared" si="108"/>
        <v/>
      </c>
      <c r="X902" s="62" t="str">
        <f t="shared" si="109"/>
        <v/>
      </c>
      <c r="Y902" s="45"/>
      <c r="Z902" s="44"/>
      <c r="AA902" s="41"/>
      <c r="AB902" s="39"/>
      <c r="AC902" s="37" t="str">
        <f t="shared" si="110"/>
        <v/>
      </c>
    </row>
    <row r="903" spans="2:29" x14ac:dyDescent="0.25">
      <c r="B903" s="54">
        <v>897</v>
      </c>
      <c r="C903" s="168"/>
      <c r="D903" s="51"/>
      <c r="E903" s="29"/>
      <c r="F903" s="48"/>
      <c r="G903" s="29"/>
      <c r="H903" s="187"/>
      <c r="I903" s="187"/>
      <c r="J903" s="195"/>
      <c r="K903" s="86" t="str">
        <f t="shared" ref="K903:K966" si="112">IF(OR(ISBLANK(H903),ISBLANK(I903)),"",IF(H903 &lt; I903, "SHORT", IF(H903 &gt; I903, "LONG", "")))</f>
        <v/>
      </c>
      <c r="L903" s="57" t="str">
        <f t="shared" si="111"/>
        <v/>
      </c>
      <c r="M903" s="186"/>
      <c r="N903" s="189"/>
      <c r="O903" s="190"/>
      <c r="P903" s="190" t="str">
        <f>IF(OR(ISBLANK(V903),COUNTBLANK(V903:$V$1048576)=ROWS(V903:$V$1048576)),"",$R$2*(1+SUM(V$7:V903)))</f>
        <v/>
      </c>
      <c r="Q903" s="191"/>
      <c r="R903" s="189"/>
      <c r="S903" s="53" t="str">
        <f t="shared" ref="S903:S966" si="113">IF(COUNTIFS($C$7:$C$1000, "&lt;="&amp;C903, $X$7:$X$1000, "Win") = 0, "", IF(COUNTIFS($C$7:$C$1000, "&lt;="&amp;C903, $X$7:$X$1000, "&lt;&gt;"&amp;"") = 0, "", COUNTIFS($C$7:$C$1000, "&lt;="&amp;C903, $X$7:$X$1000, "Win")/COUNTIFS($C$7:$C$1000, "&lt;="&amp;C903, $X$7:$X$1000, "&lt;&gt;"&amp;"")))</f>
        <v/>
      </c>
      <c r="T903" s="63" t="str">
        <f t="shared" ref="T903:T966" si="114">IF(ISBLANK(R903),IF(ISBLANK(H903),"","Open"),"Closed")</f>
        <v/>
      </c>
      <c r="U903" s="64" t="str">
        <f>IF(OR(ISBLANK(Trades!R903), ISBLANK(Trades!H903), ISBLANK(Trades!I903)), "", IF(Trades!H903=Trades!I903, "N/A", (Trades!R903-Trades!H903)/(Trades!H903-Trades!I903)))</f>
        <v/>
      </c>
      <c r="V903" s="65" t="str">
        <f t="shared" ref="V903:V966" si="115">IF(U903="","",U903*F903)</f>
        <v/>
      </c>
      <c r="W903" s="66" t="str">
        <f t="shared" ref="W903:W966" si="116">IF(ISBLANK(R903),"",IF(H903&gt;I903,IF(I903&gt;=R903,"SL Hit",IF(O903&lt;&gt;"","PT3 Hit",IF(N903&lt;&gt;"","PT2 Hit",IF(M903&lt;&gt;"","PT1 Hit","")))),IF(I903&lt;=R903,"SL Hit",IF(O903&lt;&gt;"","PT3 Hit",IF(N903&lt;&gt;"","PT2 Hit",IF(M903&lt;&gt;"","PT1 Hit",""))))))</f>
        <v/>
      </c>
      <c r="X903" s="62" t="str">
        <f t="shared" ref="X903:X966" si="117">IF(ISBLANK(R903),"",IF(H903&gt;I903, IF(R903&gt;=H903, "Win", "Loss"), IF(R903&lt;=H903, "Win", "Loss")))</f>
        <v/>
      </c>
      <c r="Y903" s="45"/>
      <c r="Z903" s="44"/>
      <c r="AA903" s="41"/>
      <c r="AB903" s="39"/>
      <c r="AC903" s="37" t="str">
        <f t="shared" ref="AC903:AC966" si="118">IFERROR(COUNTIFS($C$7:$C$1000,"&gt;="&amp;DATE(YEAR(C903),MONTH(C903),1),$C$7:$C$1000,"&lt;="&amp;EOMONTH(C903,0),$X$7:$X$1000,"Win")/COUNTIFS($C$7:$C$1000,"&gt;="&amp;DATE(YEAR(C903),MONTH(C903),1),$C$7:$C$1000,"&lt;="&amp;EOMONTH(C903,0)),"")</f>
        <v/>
      </c>
    </row>
    <row r="904" spans="2:29" x14ac:dyDescent="0.25">
      <c r="B904" s="54">
        <v>898</v>
      </c>
      <c r="C904" s="168"/>
      <c r="D904" s="51"/>
      <c r="E904" s="29"/>
      <c r="F904" s="48"/>
      <c r="G904" s="29"/>
      <c r="H904" s="187"/>
      <c r="I904" s="187"/>
      <c r="J904" s="195"/>
      <c r="K904" s="86" t="str">
        <f t="shared" si="112"/>
        <v/>
      </c>
      <c r="L904" s="57" t="str">
        <f t="shared" si="111"/>
        <v/>
      </c>
      <c r="M904" s="186"/>
      <c r="N904" s="189"/>
      <c r="O904" s="190"/>
      <c r="P904" s="190" t="str">
        <f>IF(OR(ISBLANK(V904),COUNTBLANK(V904:$V$1048576)=ROWS(V904:$V$1048576)),"",$R$2*(1+SUM(V$7:V904)))</f>
        <v/>
      </c>
      <c r="Q904" s="191"/>
      <c r="R904" s="189"/>
      <c r="S904" s="53" t="str">
        <f t="shared" si="113"/>
        <v/>
      </c>
      <c r="T904" s="63" t="str">
        <f t="shared" si="114"/>
        <v/>
      </c>
      <c r="U904" s="64" t="str">
        <f>IF(OR(ISBLANK(Trades!R904), ISBLANK(Trades!H904), ISBLANK(Trades!I904)), "", IF(Trades!H904=Trades!I904, "N/A", (Trades!R904-Trades!H904)/(Trades!H904-Trades!I904)))</f>
        <v/>
      </c>
      <c r="V904" s="65" t="str">
        <f t="shared" si="115"/>
        <v/>
      </c>
      <c r="W904" s="66" t="str">
        <f t="shared" si="116"/>
        <v/>
      </c>
      <c r="X904" s="62" t="str">
        <f t="shared" si="117"/>
        <v/>
      </c>
      <c r="Y904" s="45"/>
      <c r="Z904" s="44"/>
      <c r="AA904" s="41"/>
      <c r="AB904" s="39"/>
      <c r="AC904" s="37" t="str">
        <f t="shared" si="118"/>
        <v/>
      </c>
    </row>
    <row r="905" spans="2:29" x14ac:dyDescent="0.25">
      <c r="B905" s="54">
        <v>899</v>
      </c>
      <c r="C905" s="168"/>
      <c r="D905" s="51"/>
      <c r="E905" s="29"/>
      <c r="F905" s="48"/>
      <c r="G905" s="29"/>
      <c r="H905" s="187"/>
      <c r="I905" s="187"/>
      <c r="J905" s="195"/>
      <c r="K905" s="86" t="str">
        <f t="shared" si="112"/>
        <v/>
      </c>
      <c r="L905" s="57" t="str">
        <f t="shared" si="111"/>
        <v/>
      </c>
      <c r="M905" s="186"/>
      <c r="N905" s="189"/>
      <c r="O905" s="190"/>
      <c r="P905" s="190" t="str">
        <f>IF(OR(ISBLANK(V905),COUNTBLANK(V905:$V$1048576)=ROWS(V905:$V$1048576)),"",$R$2*(1+SUM(V$7:V905)))</f>
        <v/>
      </c>
      <c r="Q905" s="191"/>
      <c r="R905" s="189"/>
      <c r="S905" s="53" t="str">
        <f t="shared" si="113"/>
        <v/>
      </c>
      <c r="T905" s="63" t="str">
        <f t="shared" si="114"/>
        <v/>
      </c>
      <c r="U905" s="64" t="str">
        <f>IF(OR(ISBLANK(Trades!R905), ISBLANK(Trades!H905), ISBLANK(Trades!I905)), "", IF(Trades!H905=Trades!I905, "N/A", (Trades!R905-Trades!H905)/(Trades!H905-Trades!I905)))</f>
        <v/>
      </c>
      <c r="V905" s="65" t="str">
        <f t="shared" si="115"/>
        <v/>
      </c>
      <c r="W905" s="66" t="str">
        <f t="shared" si="116"/>
        <v/>
      </c>
      <c r="X905" s="62" t="str">
        <f t="shared" si="117"/>
        <v/>
      </c>
      <c r="Y905" s="45"/>
      <c r="Z905" s="44"/>
      <c r="AA905" s="41"/>
      <c r="AB905" s="39"/>
      <c r="AC905" s="37" t="str">
        <f t="shared" si="118"/>
        <v/>
      </c>
    </row>
    <row r="906" spans="2:29" x14ac:dyDescent="0.25">
      <c r="B906" s="54">
        <v>900</v>
      </c>
      <c r="C906" s="168"/>
      <c r="D906" s="51"/>
      <c r="E906" s="29"/>
      <c r="F906" s="48"/>
      <c r="G906" s="29"/>
      <c r="H906" s="187"/>
      <c r="I906" s="187"/>
      <c r="J906" s="195"/>
      <c r="K906" s="86" t="str">
        <f t="shared" si="112"/>
        <v/>
      </c>
      <c r="L906" s="57" t="str">
        <f t="shared" si="111"/>
        <v/>
      </c>
      <c r="M906" s="186"/>
      <c r="N906" s="189"/>
      <c r="O906" s="190"/>
      <c r="P906" s="190" t="str">
        <f>IF(OR(ISBLANK(V906),COUNTBLANK(V906:$V$1048576)=ROWS(V906:$V$1048576)),"",$R$2*(1+SUM(V$7:V906)))</f>
        <v/>
      </c>
      <c r="Q906" s="191"/>
      <c r="R906" s="189"/>
      <c r="S906" s="53" t="str">
        <f t="shared" si="113"/>
        <v/>
      </c>
      <c r="T906" s="63" t="str">
        <f t="shared" si="114"/>
        <v/>
      </c>
      <c r="U906" s="64" t="str">
        <f>IF(OR(ISBLANK(Trades!R906), ISBLANK(Trades!H906), ISBLANK(Trades!I906)), "", IF(Trades!H906=Trades!I906, "N/A", (Trades!R906-Trades!H906)/(Trades!H906-Trades!I906)))</f>
        <v/>
      </c>
      <c r="V906" s="65" t="str">
        <f t="shared" si="115"/>
        <v/>
      </c>
      <c r="W906" s="66" t="str">
        <f t="shared" si="116"/>
        <v/>
      </c>
      <c r="X906" s="62" t="str">
        <f t="shared" si="117"/>
        <v/>
      </c>
      <c r="Y906" s="45"/>
      <c r="Z906" s="44"/>
      <c r="AA906" s="41"/>
      <c r="AB906" s="39"/>
      <c r="AC906" s="37" t="str">
        <f t="shared" si="118"/>
        <v/>
      </c>
    </row>
    <row r="907" spans="2:29" x14ac:dyDescent="0.25">
      <c r="B907" s="54">
        <v>901</v>
      </c>
      <c r="C907" s="168"/>
      <c r="D907" s="51"/>
      <c r="E907" s="29"/>
      <c r="F907" s="48"/>
      <c r="G907" s="29"/>
      <c r="H907" s="187"/>
      <c r="I907" s="187"/>
      <c r="J907" s="195"/>
      <c r="K907" s="86" t="str">
        <f t="shared" si="112"/>
        <v/>
      </c>
      <c r="L907" s="57" t="str">
        <f t="shared" si="111"/>
        <v/>
      </c>
      <c r="M907" s="186"/>
      <c r="N907" s="189"/>
      <c r="O907" s="190"/>
      <c r="P907" s="190" t="str">
        <f>IF(OR(ISBLANK(V907),COUNTBLANK(V907:$V$1048576)=ROWS(V907:$V$1048576)),"",$R$2*(1+SUM(V$7:V907)))</f>
        <v/>
      </c>
      <c r="Q907" s="191"/>
      <c r="R907" s="189"/>
      <c r="S907" s="53" t="str">
        <f t="shared" si="113"/>
        <v/>
      </c>
      <c r="T907" s="63" t="str">
        <f t="shared" si="114"/>
        <v/>
      </c>
      <c r="U907" s="64" t="str">
        <f>IF(OR(ISBLANK(Trades!R907), ISBLANK(Trades!H907), ISBLANK(Trades!I907)), "", IF(Trades!H907=Trades!I907, "N/A", (Trades!R907-Trades!H907)/(Trades!H907-Trades!I907)))</f>
        <v/>
      </c>
      <c r="V907" s="65" t="str">
        <f t="shared" si="115"/>
        <v/>
      </c>
      <c r="W907" s="66" t="str">
        <f t="shared" si="116"/>
        <v/>
      </c>
      <c r="X907" s="62" t="str">
        <f t="shared" si="117"/>
        <v/>
      </c>
      <c r="Y907" s="45"/>
      <c r="Z907" s="44"/>
      <c r="AA907" s="41"/>
      <c r="AB907" s="39"/>
      <c r="AC907" s="37" t="str">
        <f t="shared" si="118"/>
        <v/>
      </c>
    </row>
    <row r="908" spans="2:29" x14ac:dyDescent="0.25">
      <c r="B908" s="54">
        <v>902</v>
      </c>
      <c r="C908" s="168"/>
      <c r="D908" s="51"/>
      <c r="E908" s="29"/>
      <c r="F908" s="48"/>
      <c r="G908" s="29"/>
      <c r="H908" s="187"/>
      <c r="I908" s="187"/>
      <c r="J908" s="195"/>
      <c r="K908" s="86" t="str">
        <f t="shared" si="112"/>
        <v/>
      </c>
      <c r="L908" s="57" t="str">
        <f t="shared" ref="L908:L971" si="119">IF(OR(ISBLANK(J908),ISBLANK(H908),ISBLANK(I908)),"",ABS(J908-H908)/ABS(H908-I908))</f>
        <v/>
      </c>
      <c r="M908" s="186"/>
      <c r="N908" s="189"/>
      <c r="O908" s="190"/>
      <c r="P908" s="190" t="str">
        <f>IF(OR(ISBLANK(V908),COUNTBLANK(V908:$V$1048576)=ROWS(V908:$V$1048576)),"",$R$2*(1+SUM(V$7:V908)))</f>
        <v/>
      </c>
      <c r="Q908" s="191"/>
      <c r="R908" s="189"/>
      <c r="S908" s="53" t="str">
        <f t="shared" si="113"/>
        <v/>
      </c>
      <c r="T908" s="63" t="str">
        <f t="shared" si="114"/>
        <v/>
      </c>
      <c r="U908" s="64" t="str">
        <f>IF(OR(ISBLANK(Trades!R908), ISBLANK(Trades!H908), ISBLANK(Trades!I908)), "", IF(Trades!H908=Trades!I908, "N/A", (Trades!R908-Trades!H908)/(Trades!H908-Trades!I908)))</f>
        <v/>
      </c>
      <c r="V908" s="65" t="str">
        <f t="shared" si="115"/>
        <v/>
      </c>
      <c r="W908" s="66" t="str">
        <f t="shared" si="116"/>
        <v/>
      </c>
      <c r="X908" s="62" t="str">
        <f t="shared" si="117"/>
        <v/>
      </c>
      <c r="Y908" s="45"/>
      <c r="Z908" s="44"/>
      <c r="AA908" s="41"/>
      <c r="AB908" s="39"/>
      <c r="AC908" s="37" t="str">
        <f t="shared" si="118"/>
        <v/>
      </c>
    </row>
    <row r="909" spans="2:29" x14ac:dyDescent="0.25">
      <c r="B909" s="54">
        <v>903</v>
      </c>
      <c r="C909" s="168"/>
      <c r="D909" s="51"/>
      <c r="E909" s="29"/>
      <c r="F909" s="48"/>
      <c r="G909" s="29"/>
      <c r="H909" s="187"/>
      <c r="I909" s="187"/>
      <c r="J909" s="195"/>
      <c r="K909" s="86" t="str">
        <f t="shared" si="112"/>
        <v/>
      </c>
      <c r="L909" s="57" t="str">
        <f t="shared" si="119"/>
        <v/>
      </c>
      <c r="M909" s="186"/>
      <c r="N909" s="189"/>
      <c r="O909" s="190"/>
      <c r="P909" s="190" t="str">
        <f>IF(OR(ISBLANK(V909),COUNTBLANK(V909:$V$1048576)=ROWS(V909:$V$1048576)),"",$R$2*(1+SUM(V$7:V909)))</f>
        <v/>
      </c>
      <c r="Q909" s="191"/>
      <c r="R909" s="189"/>
      <c r="S909" s="53" t="str">
        <f t="shared" si="113"/>
        <v/>
      </c>
      <c r="T909" s="63" t="str">
        <f t="shared" si="114"/>
        <v/>
      </c>
      <c r="U909" s="64" t="str">
        <f>IF(OR(ISBLANK(Trades!R909), ISBLANK(Trades!H909), ISBLANK(Trades!I909)), "", IF(Trades!H909=Trades!I909, "N/A", (Trades!R909-Trades!H909)/(Trades!H909-Trades!I909)))</f>
        <v/>
      </c>
      <c r="V909" s="65" t="str">
        <f t="shared" si="115"/>
        <v/>
      </c>
      <c r="W909" s="66" t="str">
        <f t="shared" si="116"/>
        <v/>
      </c>
      <c r="X909" s="62" t="str">
        <f t="shared" si="117"/>
        <v/>
      </c>
      <c r="Y909" s="45"/>
      <c r="Z909" s="44"/>
      <c r="AA909" s="41"/>
      <c r="AB909" s="39"/>
      <c r="AC909" s="37" t="str">
        <f t="shared" si="118"/>
        <v/>
      </c>
    </row>
    <row r="910" spans="2:29" x14ac:dyDescent="0.25">
      <c r="B910" s="54">
        <v>904</v>
      </c>
      <c r="C910" s="168"/>
      <c r="D910" s="51"/>
      <c r="E910" s="29"/>
      <c r="F910" s="48"/>
      <c r="G910" s="29"/>
      <c r="H910" s="187"/>
      <c r="I910" s="187"/>
      <c r="J910" s="195"/>
      <c r="K910" s="86" t="str">
        <f t="shared" si="112"/>
        <v/>
      </c>
      <c r="L910" s="57" t="str">
        <f t="shared" si="119"/>
        <v/>
      </c>
      <c r="M910" s="186"/>
      <c r="N910" s="189"/>
      <c r="O910" s="190"/>
      <c r="P910" s="190" t="str">
        <f>IF(OR(ISBLANK(V910),COUNTBLANK(V910:$V$1048576)=ROWS(V910:$V$1048576)),"",$R$2*(1+SUM(V$7:V910)))</f>
        <v/>
      </c>
      <c r="Q910" s="191"/>
      <c r="R910" s="189"/>
      <c r="S910" s="53" t="str">
        <f t="shared" si="113"/>
        <v/>
      </c>
      <c r="T910" s="63" t="str">
        <f t="shared" si="114"/>
        <v/>
      </c>
      <c r="U910" s="64" t="str">
        <f>IF(OR(ISBLANK(Trades!R910), ISBLANK(Trades!H910), ISBLANK(Trades!I910)), "", IF(Trades!H910=Trades!I910, "N/A", (Trades!R910-Trades!H910)/(Trades!H910-Trades!I910)))</f>
        <v/>
      </c>
      <c r="V910" s="65" t="str">
        <f t="shared" si="115"/>
        <v/>
      </c>
      <c r="W910" s="66" t="str">
        <f t="shared" si="116"/>
        <v/>
      </c>
      <c r="X910" s="62" t="str">
        <f t="shared" si="117"/>
        <v/>
      </c>
      <c r="Y910" s="45"/>
      <c r="Z910" s="44"/>
      <c r="AA910" s="41"/>
      <c r="AB910" s="39"/>
      <c r="AC910" s="37" t="str">
        <f t="shared" si="118"/>
        <v/>
      </c>
    </row>
    <row r="911" spans="2:29" x14ac:dyDescent="0.25">
      <c r="B911" s="54">
        <v>905</v>
      </c>
      <c r="C911" s="168"/>
      <c r="D911" s="51"/>
      <c r="E911" s="29"/>
      <c r="F911" s="48"/>
      <c r="G911" s="29"/>
      <c r="H911" s="187"/>
      <c r="I911" s="187"/>
      <c r="J911" s="195"/>
      <c r="K911" s="86" t="str">
        <f t="shared" si="112"/>
        <v/>
      </c>
      <c r="L911" s="57" t="str">
        <f t="shared" si="119"/>
        <v/>
      </c>
      <c r="M911" s="186"/>
      <c r="N911" s="189"/>
      <c r="O911" s="190"/>
      <c r="P911" s="190" t="str">
        <f>IF(OR(ISBLANK(V911),COUNTBLANK(V911:$V$1048576)=ROWS(V911:$V$1048576)),"",$R$2*(1+SUM(V$7:V911)))</f>
        <v/>
      </c>
      <c r="Q911" s="191"/>
      <c r="R911" s="189"/>
      <c r="S911" s="53" t="str">
        <f t="shared" si="113"/>
        <v/>
      </c>
      <c r="T911" s="63" t="str">
        <f t="shared" si="114"/>
        <v/>
      </c>
      <c r="U911" s="64" t="str">
        <f>IF(OR(ISBLANK(Trades!R911), ISBLANK(Trades!H911), ISBLANK(Trades!I911)), "", IF(Trades!H911=Trades!I911, "N/A", (Trades!R911-Trades!H911)/(Trades!H911-Trades!I911)))</f>
        <v/>
      </c>
      <c r="V911" s="65" t="str">
        <f t="shared" si="115"/>
        <v/>
      </c>
      <c r="W911" s="66" t="str">
        <f t="shared" si="116"/>
        <v/>
      </c>
      <c r="X911" s="62" t="str">
        <f t="shared" si="117"/>
        <v/>
      </c>
      <c r="Y911" s="45"/>
      <c r="Z911" s="44"/>
      <c r="AA911" s="41"/>
      <c r="AB911" s="39"/>
      <c r="AC911" s="37" t="str">
        <f t="shared" si="118"/>
        <v/>
      </c>
    </row>
    <row r="912" spans="2:29" x14ac:dyDescent="0.25">
      <c r="B912" s="54">
        <v>906</v>
      </c>
      <c r="C912" s="168"/>
      <c r="D912" s="51"/>
      <c r="E912" s="29"/>
      <c r="F912" s="48"/>
      <c r="G912" s="29"/>
      <c r="H912" s="187"/>
      <c r="I912" s="187"/>
      <c r="J912" s="195"/>
      <c r="K912" s="86" t="str">
        <f t="shared" si="112"/>
        <v/>
      </c>
      <c r="L912" s="57" t="str">
        <f t="shared" si="119"/>
        <v/>
      </c>
      <c r="M912" s="186"/>
      <c r="N912" s="189"/>
      <c r="O912" s="190"/>
      <c r="P912" s="190" t="str">
        <f>IF(OR(ISBLANK(V912),COUNTBLANK(V912:$V$1048576)=ROWS(V912:$V$1048576)),"",$R$2*(1+SUM(V$7:V912)))</f>
        <v/>
      </c>
      <c r="Q912" s="191"/>
      <c r="R912" s="189"/>
      <c r="S912" s="53" t="str">
        <f t="shared" si="113"/>
        <v/>
      </c>
      <c r="T912" s="63" t="str">
        <f t="shared" si="114"/>
        <v/>
      </c>
      <c r="U912" s="64" t="str">
        <f>IF(OR(ISBLANK(Trades!R912), ISBLANK(Trades!H912), ISBLANK(Trades!I912)), "", IF(Trades!H912=Trades!I912, "N/A", (Trades!R912-Trades!H912)/(Trades!H912-Trades!I912)))</f>
        <v/>
      </c>
      <c r="V912" s="65" t="str">
        <f t="shared" si="115"/>
        <v/>
      </c>
      <c r="W912" s="66" t="str">
        <f t="shared" si="116"/>
        <v/>
      </c>
      <c r="X912" s="62" t="str">
        <f t="shared" si="117"/>
        <v/>
      </c>
      <c r="Y912" s="45"/>
      <c r="Z912" s="44"/>
      <c r="AA912" s="41"/>
      <c r="AB912" s="39"/>
      <c r="AC912" s="37" t="str">
        <f t="shared" si="118"/>
        <v/>
      </c>
    </row>
    <row r="913" spans="2:29" x14ac:dyDescent="0.25">
      <c r="B913" s="54">
        <v>907</v>
      </c>
      <c r="C913" s="168"/>
      <c r="D913" s="51"/>
      <c r="E913" s="29"/>
      <c r="F913" s="48"/>
      <c r="G913" s="29"/>
      <c r="H913" s="187"/>
      <c r="I913" s="187"/>
      <c r="J913" s="195"/>
      <c r="K913" s="86" t="str">
        <f t="shared" si="112"/>
        <v/>
      </c>
      <c r="L913" s="57" t="str">
        <f t="shared" si="119"/>
        <v/>
      </c>
      <c r="M913" s="186"/>
      <c r="N913" s="189"/>
      <c r="O913" s="190"/>
      <c r="P913" s="190" t="str">
        <f>IF(OR(ISBLANK(V913),COUNTBLANK(V913:$V$1048576)=ROWS(V913:$V$1048576)),"",$R$2*(1+SUM(V$7:V913)))</f>
        <v/>
      </c>
      <c r="Q913" s="191"/>
      <c r="R913" s="189"/>
      <c r="S913" s="53" t="str">
        <f t="shared" si="113"/>
        <v/>
      </c>
      <c r="T913" s="63" t="str">
        <f t="shared" si="114"/>
        <v/>
      </c>
      <c r="U913" s="64" t="str">
        <f>IF(OR(ISBLANK(Trades!R913), ISBLANK(Trades!H913), ISBLANK(Trades!I913)), "", IF(Trades!H913=Trades!I913, "N/A", (Trades!R913-Trades!H913)/(Trades!H913-Trades!I913)))</f>
        <v/>
      </c>
      <c r="V913" s="65" t="str">
        <f t="shared" si="115"/>
        <v/>
      </c>
      <c r="W913" s="66" t="str">
        <f t="shared" si="116"/>
        <v/>
      </c>
      <c r="X913" s="62" t="str">
        <f t="shared" si="117"/>
        <v/>
      </c>
      <c r="Y913" s="45"/>
      <c r="Z913" s="44"/>
      <c r="AA913" s="41"/>
      <c r="AB913" s="39"/>
      <c r="AC913" s="37" t="str">
        <f t="shared" si="118"/>
        <v/>
      </c>
    </row>
    <row r="914" spans="2:29" x14ac:dyDescent="0.25">
      <c r="B914" s="54">
        <v>908</v>
      </c>
      <c r="C914" s="168"/>
      <c r="D914" s="51"/>
      <c r="E914" s="29"/>
      <c r="F914" s="48"/>
      <c r="G914" s="29"/>
      <c r="H914" s="187"/>
      <c r="I914" s="187"/>
      <c r="J914" s="195"/>
      <c r="K914" s="86" t="str">
        <f t="shared" si="112"/>
        <v/>
      </c>
      <c r="L914" s="57" t="str">
        <f t="shared" si="119"/>
        <v/>
      </c>
      <c r="M914" s="186"/>
      <c r="N914" s="189"/>
      <c r="O914" s="190"/>
      <c r="P914" s="190" t="str">
        <f>IF(OR(ISBLANK(V914),COUNTBLANK(V914:$V$1048576)=ROWS(V914:$V$1048576)),"",$R$2*(1+SUM(V$7:V914)))</f>
        <v/>
      </c>
      <c r="Q914" s="191"/>
      <c r="R914" s="189"/>
      <c r="S914" s="53" t="str">
        <f t="shared" si="113"/>
        <v/>
      </c>
      <c r="T914" s="63" t="str">
        <f t="shared" si="114"/>
        <v/>
      </c>
      <c r="U914" s="64" t="str">
        <f>IF(OR(ISBLANK(Trades!R914), ISBLANK(Trades!H914), ISBLANK(Trades!I914)), "", IF(Trades!H914=Trades!I914, "N/A", (Trades!R914-Trades!H914)/(Trades!H914-Trades!I914)))</f>
        <v/>
      </c>
      <c r="V914" s="65" t="str">
        <f t="shared" si="115"/>
        <v/>
      </c>
      <c r="W914" s="66" t="str">
        <f t="shared" si="116"/>
        <v/>
      </c>
      <c r="X914" s="62" t="str">
        <f t="shared" si="117"/>
        <v/>
      </c>
      <c r="Y914" s="45"/>
      <c r="Z914" s="44"/>
      <c r="AA914" s="41"/>
      <c r="AB914" s="39"/>
      <c r="AC914" s="37" t="str">
        <f t="shared" si="118"/>
        <v/>
      </c>
    </row>
    <row r="915" spans="2:29" x14ac:dyDescent="0.25">
      <c r="B915" s="54">
        <v>909</v>
      </c>
      <c r="C915" s="168"/>
      <c r="D915" s="51"/>
      <c r="E915" s="29"/>
      <c r="F915" s="48"/>
      <c r="G915" s="29"/>
      <c r="H915" s="187"/>
      <c r="I915" s="187"/>
      <c r="J915" s="195"/>
      <c r="K915" s="86" t="str">
        <f t="shared" si="112"/>
        <v/>
      </c>
      <c r="L915" s="57" t="str">
        <f t="shared" si="119"/>
        <v/>
      </c>
      <c r="M915" s="186"/>
      <c r="N915" s="189"/>
      <c r="O915" s="190"/>
      <c r="P915" s="190" t="str">
        <f>IF(OR(ISBLANK(V915),COUNTBLANK(V915:$V$1048576)=ROWS(V915:$V$1048576)),"",$R$2*(1+SUM(V$7:V915)))</f>
        <v/>
      </c>
      <c r="Q915" s="191"/>
      <c r="R915" s="189"/>
      <c r="S915" s="53" t="str">
        <f t="shared" si="113"/>
        <v/>
      </c>
      <c r="T915" s="63" t="str">
        <f t="shared" si="114"/>
        <v/>
      </c>
      <c r="U915" s="64" t="str">
        <f>IF(OR(ISBLANK(Trades!R915), ISBLANK(Trades!H915), ISBLANK(Trades!I915)), "", IF(Trades!H915=Trades!I915, "N/A", (Trades!R915-Trades!H915)/(Trades!H915-Trades!I915)))</f>
        <v/>
      </c>
      <c r="V915" s="65" t="str">
        <f t="shared" si="115"/>
        <v/>
      </c>
      <c r="W915" s="66" t="str">
        <f t="shared" si="116"/>
        <v/>
      </c>
      <c r="X915" s="62" t="str">
        <f t="shared" si="117"/>
        <v/>
      </c>
      <c r="Y915" s="45"/>
      <c r="Z915" s="44"/>
      <c r="AA915" s="41"/>
      <c r="AB915" s="39"/>
      <c r="AC915" s="37" t="str">
        <f t="shared" si="118"/>
        <v/>
      </c>
    </row>
    <row r="916" spans="2:29" x14ac:dyDescent="0.25">
      <c r="B916" s="54">
        <v>910</v>
      </c>
      <c r="C916" s="168"/>
      <c r="D916" s="51"/>
      <c r="E916" s="29"/>
      <c r="F916" s="48"/>
      <c r="G916" s="29"/>
      <c r="H916" s="187"/>
      <c r="I916" s="187"/>
      <c r="J916" s="195"/>
      <c r="K916" s="86" t="str">
        <f t="shared" si="112"/>
        <v/>
      </c>
      <c r="L916" s="57" t="str">
        <f t="shared" si="119"/>
        <v/>
      </c>
      <c r="M916" s="186"/>
      <c r="N916" s="189"/>
      <c r="O916" s="190"/>
      <c r="P916" s="190" t="str">
        <f>IF(OR(ISBLANK(V916),COUNTBLANK(V916:$V$1048576)=ROWS(V916:$V$1048576)),"",$R$2*(1+SUM(V$7:V916)))</f>
        <v/>
      </c>
      <c r="Q916" s="191"/>
      <c r="R916" s="189"/>
      <c r="S916" s="53" t="str">
        <f t="shared" si="113"/>
        <v/>
      </c>
      <c r="T916" s="63" t="str">
        <f t="shared" si="114"/>
        <v/>
      </c>
      <c r="U916" s="64" t="str">
        <f>IF(OR(ISBLANK(Trades!R916), ISBLANK(Trades!H916), ISBLANK(Trades!I916)), "", IF(Trades!H916=Trades!I916, "N/A", (Trades!R916-Trades!H916)/(Trades!H916-Trades!I916)))</f>
        <v/>
      </c>
      <c r="V916" s="65" t="str">
        <f t="shared" si="115"/>
        <v/>
      </c>
      <c r="W916" s="66" t="str">
        <f t="shared" si="116"/>
        <v/>
      </c>
      <c r="X916" s="62" t="str">
        <f t="shared" si="117"/>
        <v/>
      </c>
      <c r="Y916" s="45"/>
      <c r="Z916" s="44"/>
      <c r="AA916" s="41"/>
      <c r="AB916" s="39"/>
      <c r="AC916" s="37" t="str">
        <f t="shared" si="118"/>
        <v/>
      </c>
    </row>
    <row r="917" spans="2:29" x14ac:dyDescent="0.25">
      <c r="B917" s="54">
        <v>911</v>
      </c>
      <c r="C917" s="168"/>
      <c r="D917" s="51"/>
      <c r="E917" s="29"/>
      <c r="F917" s="48"/>
      <c r="G917" s="29"/>
      <c r="H917" s="187"/>
      <c r="I917" s="187"/>
      <c r="J917" s="195"/>
      <c r="K917" s="86" t="str">
        <f t="shared" si="112"/>
        <v/>
      </c>
      <c r="L917" s="57" t="str">
        <f t="shared" si="119"/>
        <v/>
      </c>
      <c r="M917" s="186"/>
      <c r="N917" s="189"/>
      <c r="O917" s="190"/>
      <c r="P917" s="190" t="str">
        <f>IF(OR(ISBLANK(V917),COUNTBLANK(V917:$V$1048576)=ROWS(V917:$V$1048576)),"",$R$2*(1+SUM(V$7:V917)))</f>
        <v/>
      </c>
      <c r="Q917" s="191"/>
      <c r="R917" s="189"/>
      <c r="S917" s="53" t="str">
        <f t="shared" si="113"/>
        <v/>
      </c>
      <c r="T917" s="63" t="str">
        <f t="shared" si="114"/>
        <v/>
      </c>
      <c r="U917" s="64" t="str">
        <f>IF(OR(ISBLANK(Trades!R917), ISBLANK(Trades!H917), ISBLANK(Trades!I917)), "", IF(Trades!H917=Trades!I917, "N/A", (Trades!R917-Trades!H917)/(Trades!H917-Trades!I917)))</f>
        <v/>
      </c>
      <c r="V917" s="65" t="str">
        <f t="shared" si="115"/>
        <v/>
      </c>
      <c r="W917" s="66" t="str">
        <f t="shared" si="116"/>
        <v/>
      </c>
      <c r="X917" s="62" t="str">
        <f t="shared" si="117"/>
        <v/>
      </c>
      <c r="Y917" s="45"/>
      <c r="Z917" s="44"/>
      <c r="AA917" s="41"/>
      <c r="AB917" s="39"/>
      <c r="AC917" s="37" t="str">
        <f t="shared" si="118"/>
        <v/>
      </c>
    </row>
    <row r="918" spans="2:29" x14ac:dyDescent="0.25">
      <c r="B918" s="54">
        <v>912</v>
      </c>
      <c r="C918" s="168"/>
      <c r="D918" s="51"/>
      <c r="E918" s="29"/>
      <c r="F918" s="48"/>
      <c r="G918" s="29"/>
      <c r="H918" s="187"/>
      <c r="I918" s="187"/>
      <c r="J918" s="195"/>
      <c r="K918" s="86" t="str">
        <f t="shared" si="112"/>
        <v/>
      </c>
      <c r="L918" s="57" t="str">
        <f t="shared" si="119"/>
        <v/>
      </c>
      <c r="M918" s="186"/>
      <c r="N918" s="189"/>
      <c r="O918" s="190"/>
      <c r="P918" s="190" t="str">
        <f>IF(OR(ISBLANK(V918),COUNTBLANK(V918:$V$1048576)=ROWS(V918:$V$1048576)),"",$R$2*(1+SUM(V$7:V918)))</f>
        <v/>
      </c>
      <c r="Q918" s="191"/>
      <c r="R918" s="189"/>
      <c r="S918" s="53" t="str">
        <f t="shared" si="113"/>
        <v/>
      </c>
      <c r="T918" s="63" t="str">
        <f t="shared" si="114"/>
        <v/>
      </c>
      <c r="U918" s="64" t="str">
        <f>IF(OR(ISBLANK(Trades!R918), ISBLANK(Trades!H918), ISBLANK(Trades!I918)), "", IF(Trades!H918=Trades!I918, "N/A", (Trades!R918-Trades!H918)/(Trades!H918-Trades!I918)))</f>
        <v/>
      </c>
      <c r="V918" s="65" t="str">
        <f t="shared" si="115"/>
        <v/>
      </c>
      <c r="W918" s="66" t="str">
        <f t="shared" si="116"/>
        <v/>
      </c>
      <c r="X918" s="62" t="str">
        <f t="shared" si="117"/>
        <v/>
      </c>
      <c r="Y918" s="45"/>
      <c r="Z918" s="44"/>
      <c r="AA918" s="41"/>
      <c r="AB918" s="39"/>
      <c r="AC918" s="37" t="str">
        <f t="shared" si="118"/>
        <v/>
      </c>
    </row>
    <row r="919" spans="2:29" x14ac:dyDescent="0.25">
      <c r="B919" s="54">
        <v>913</v>
      </c>
      <c r="C919" s="168"/>
      <c r="D919" s="51"/>
      <c r="E919" s="29"/>
      <c r="F919" s="48"/>
      <c r="G919" s="29"/>
      <c r="H919" s="187"/>
      <c r="I919" s="187"/>
      <c r="J919" s="195"/>
      <c r="K919" s="86" t="str">
        <f t="shared" si="112"/>
        <v/>
      </c>
      <c r="L919" s="57" t="str">
        <f t="shared" si="119"/>
        <v/>
      </c>
      <c r="M919" s="186"/>
      <c r="N919" s="189"/>
      <c r="O919" s="190"/>
      <c r="P919" s="190" t="str">
        <f>IF(OR(ISBLANK(V919),COUNTBLANK(V919:$V$1048576)=ROWS(V919:$V$1048576)),"",$R$2*(1+SUM(V$7:V919)))</f>
        <v/>
      </c>
      <c r="Q919" s="191"/>
      <c r="R919" s="189"/>
      <c r="S919" s="53" t="str">
        <f t="shared" si="113"/>
        <v/>
      </c>
      <c r="T919" s="63" t="str">
        <f t="shared" si="114"/>
        <v/>
      </c>
      <c r="U919" s="64" t="str">
        <f>IF(OR(ISBLANK(Trades!R919), ISBLANK(Trades!H919), ISBLANK(Trades!I919)), "", IF(Trades!H919=Trades!I919, "N/A", (Trades!R919-Trades!H919)/(Trades!H919-Trades!I919)))</f>
        <v/>
      </c>
      <c r="V919" s="65" t="str">
        <f t="shared" si="115"/>
        <v/>
      </c>
      <c r="W919" s="66" t="str">
        <f t="shared" si="116"/>
        <v/>
      </c>
      <c r="X919" s="62" t="str">
        <f t="shared" si="117"/>
        <v/>
      </c>
      <c r="Y919" s="45"/>
      <c r="Z919" s="44"/>
      <c r="AA919" s="41"/>
      <c r="AB919" s="39"/>
      <c r="AC919" s="37" t="str">
        <f t="shared" si="118"/>
        <v/>
      </c>
    </row>
    <row r="920" spans="2:29" x14ac:dyDescent="0.25">
      <c r="B920" s="54">
        <v>914</v>
      </c>
      <c r="C920" s="168"/>
      <c r="D920" s="51"/>
      <c r="E920" s="29"/>
      <c r="F920" s="48"/>
      <c r="G920" s="29"/>
      <c r="H920" s="187"/>
      <c r="I920" s="187"/>
      <c r="J920" s="195"/>
      <c r="K920" s="86" t="str">
        <f t="shared" si="112"/>
        <v/>
      </c>
      <c r="L920" s="57" t="str">
        <f t="shared" si="119"/>
        <v/>
      </c>
      <c r="M920" s="186"/>
      <c r="N920" s="189"/>
      <c r="O920" s="190"/>
      <c r="P920" s="190" t="str">
        <f>IF(OR(ISBLANK(V920),COUNTBLANK(V920:$V$1048576)=ROWS(V920:$V$1048576)),"",$R$2*(1+SUM(V$7:V920)))</f>
        <v/>
      </c>
      <c r="Q920" s="191"/>
      <c r="R920" s="189"/>
      <c r="S920" s="53" t="str">
        <f t="shared" si="113"/>
        <v/>
      </c>
      <c r="T920" s="63" t="str">
        <f t="shared" si="114"/>
        <v/>
      </c>
      <c r="U920" s="64" t="str">
        <f>IF(OR(ISBLANK(Trades!R920), ISBLANK(Trades!H920), ISBLANK(Trades!I920)), "", IF(Trades!H920=Trades!I920, "N/A", (Trades!R920-Trades!H920)/(Trades!H920-Trades!I920)))</f>
        <v/>
      </c>
      <c r="V920" s="65" t="str">
        <f t="shared" si="115"/>
        <v/>
      </c>
      <c r="W920" s="66" t="str">
        <f t="shared" si="116"/>
        <v/>
      </c>
      <c r="X920" s="62" t="str">
        <f t="shared" si="117"/>
        <v/>
      </c>
      <c r="Y920" s="45"/>
      <c r="Z920" s="44"/>
      <c r="AA920" s="41"/>
      <c r="AB920" s="39"/>
      <c r="AC920" s="37" t="str">
        <f t="shared" si="118"/>
        <v/>
      </c>
    </row>
    <row r="921" spans="2:29" x14ac:dyDescent="0.25">
      <c r="B921" s="54">
        <v>915</v>
      </c>
      <c r="C921" s="168"/>
      <c r="D921" s="51"/>
      <c r="E921" s="29"/>
      <c r="F921" s="48"/>
      <c r="G921" s="29"/>
      <c r="H921" s="187"/>
      <c r="I921" s="187"/>
      <c r="J921" s="195"/>
      <c r="K921" s="86" t="str">
        <f t="shared" si="112"/>
        <v/>
      </c>
      <c r="L921" s="57" t="str">
        <f t="shared" si="119"/>
        <v/>
      </c>
      <c r="M921" s="186"/>
      <c r="N921" s="189"/>
      <c r="O921" s="190"/>
      <c r="P921" s="190" t="str">
        <f>IF(OR(ISBLANK(V921),COUNTBLANK(V921:$V$1048576)=ROWS(V921:$V$1048576)),"",$R$2*(1+SUM(V$7:V921)))</f>
        <v/>
      </c>
      <c r="Q921" s="191"/>
      <c r="R921" s="189"/>
      <c r="S921" s="53" t="str">
        <f t="shared" si="113"/>
        <v/>
      </c>
      <c r="T921" s="63" t="str">
        <f t="shared" si="114"/>
        <v/>
      </c>
      <c r="U921" s="64" t="str">
        <f>IF(OR(ISBLANK(Trades!R921), ISBLANK(Trades!H921), ISBLANK(Trades!I921)), "", IF(Trades!H921=Trades!I921, "N/A", (Trades!R921-Trades!H921)/(Trades!H921-Trades!I921)))</f>
        <v/>
      </c>
      <c r="V921" s="65" t="str">
        <f t="shared" si="115"/>
        <v/>
      </c>
      <c r="W921" s="66" t="str">
        <f t="shared" si="116"/>
        <v/>
      </c>
      <c r="X921" s="62" t="str">
        <f t="shared" si="117"/>
        <v/>
      </c>
      <c r="Y921" s="45"/>
      <c r="Z921" s="44"/>
      <c r="AA921" s="41"/>
      <c r="AB921" s="39"/>
      <c r="AC921" s="37" t="str">
        <f t="shared" si="118"/>
        <v/>
      </c>
    </row>
    <row r="922" spans="2:29" x14ac:dyDescent="0.25">
      <c r="B922" s="54">
        <v>916</v>
      </c>
      <c r="C922" s="168"/>
      <c r="D922" s="51"/>
      <c r="E922" s="29"/>
      <c r="F922" s="48"/>
      <c r="G922" s="29"/>
      <c r="H922" s="187"/>
      <c r="I922" s="187"/>
      <c r="J922" s="195"/>
      <c r="K922" s="86" t="str">
        <f t="shared" si="112"/>
        <v/>
      </c>
      <c r="L922" s="57" t="str">
        <f t="shared" si="119"/>
        <v/>
      </c>
      <c r="M922" s="186"/>
      <c r="N922" s="189"/>
      <c r="O922" s="190"/>
      <c r="P922" s="190" t="str">
        <f>IF(OR(ISBLANK(V922),COUNTBLANK(V922:$V$1048576)=ROWS(V922:$V$1048576)),"",$R$2*(1+SUM(V$7:V922)))</f>
        <v/>
      </c>
      <c r="Q922" s="191"/>
      <c r="R922" s="189"/>
      <c r="S922" s="53" t="str">
        <f t="shared" si="113"/>
        <v/>
      </c>
      <c r="T922" s="63" t="str">
        <f t="shared" si="114"/>
        <v/>
      </c>
      <c r="U922" s="64" t="str">
        <f>IF(OR(ISBLANK(Trades!R922), ISBLANK(Trades!H922), ISBLANK(Trades!I922)), "", IF(Trades!H922=Trades!I922, "N/A", (Trades!R922-Trades!H922)/(Trades!H922-Trades!I922)))</f>
        <v/>
      </c>
      <c r="V922" s="65" t="str">
        <f t="shared" si="115"/>
        <v/>
      </c>
      <c r="W922" s="66" t="str">
        <f t="shared" si="116"/>
        <v/>
      </c>
      <c r="X922" s="62" t="str">
        <f t="shared" si="117"/>
        <v/>
      </c>
      <c r="Y922" s="45"/>
      <c r="Z922" s="44"/>
      <c r="AA922" s="41"/>
      <c r="AB922" s="39"/>
      <c r="AC922" s="37" t="str">
        <f t="shared" si="118"/>
        <v/>
      </c>
    </row>
    <row r="923" spans="2:29" x14ac:dyDescent="0.25">
      <c r="B923" s="54">
        <v>917</v>
      </c>
      <c r="C923" s="168"/>
      <c r="D923" s="51"/>
      <c r="E923" s="29"/>
      <c r="F923" s="48"/>
      <c r="G923" s="29"/>
      <c r="H923" s="187"/>
      <c r="I923" s="187"/>
      <c r="J923" s="195"/>
      <c r="K923" s="86" t="str">
        <f t="shared" si="112"/>
        <v/>
      </c>
      <c r="L923" s="57" t="str">
        <f t="shared" si="119"/>
        <v/>
      </c>
      <c r="M923" s="186"/>
      <c r="N923" s="189"/>
      <c r="O923" s="190"/>
      <c r="P923" s="190" t="str">
        <f>IF(OR(ISBLANK(V923),COUNTBLANK(V923:$V$1048576)=ROWS(V923:$V$1048576)),"",$R$2*(1+SUM(V$7:V923)))</f>
        <v/>
      </c>
      <c r="Q923" s="191"/>
      <c r="R923" s="189"/>
      <c r="S923" s="53" t="str">
        <f t="shared" si="113"/>
        <v/>
      </c>
      <c r="T923" s="63" t="str">
        <f t="shared" si="114"/>
        <v/>
      </c>
      <c r="U923" s="64" t="str">
        <f>IF(OR(ISBLANK(Trades!R923), ISBLANK(Trades!H923), ISBLANK(Trades!I923)), "", IF(Trades!H923=Trades!I923, "N/A", (Trades!R923-Trades!H923)/(Trades!H923-Trades!I923)))</f>
        <v/>
      </c>
      <c r="V923" s="65" t="str">
        <f t="shared" si="115"/>
        <v/>
      </c>
      <c r="W923" s="66" t="str">
        <f t="shared" si="116"/>
        <v/>
      </c>
      <c r="X923" s="62" t="str">
        <f t="shared" si="117"/>
        <v/>
      </c>
      <c r="Y923" s="45"/>
      <c r="Z923" s="44"/>
      <c r="AA923" s="41"/>
      <c r="AB923" s="39"/>
      <c r="AC923" s="37" t="str">
        <f t="shared" si="118"/>
        <v/>
      </c>
    </row>
    <row r="924" spans="2:29" x14ac:dyDescent="0.25">
      <c r="B924" s="54">
        <v>918</v>
      </c>
      <c r="C924" s="168"/>
      <c r="D924" s="51"/>
      <c r="E924" s="29"/>
      <c r="F924" s="48"/>
      <c r="G924" s="29"/>
      <c r="H924" s="187"/>
      <c r="I924" s="187"/>
      <c r="J924" s="195"/>
      <c r="K924" s="86" t="str">
        <f t="shared" si="112"/>
        <v/>
      </c>
      <c r="L924" s="57" t="str">
        <f t="shared" si="119"/>
        <v/>
      </c>
      <c r="M924" s="186"/>
      <c r="N924" s="189"/>
      <c r="O924" s="190"/>
      <c r="P924" s="190" t="str">
        <f>IF(OR(ISBLANK(V924),COUNTBLANK(V924:$V$1048576)=ROWS(V924:$V$1048576)),"",$R$2*(1+SUM(V$7:V924)))</f>
        <v/>
      </c>
      <c r="Q924" s="191"/>
      <c r="R924" s="189"/>
      <c r="S924" s="53" t="str">
        <f t="shared" si="113"/>
        <v/>
      </c>
      <c r="T924" s="63" t="str">
        <f t="shared" si="114"/>
        <v/>
      </c>
      <c r="U924" s="64" t="str">
        <f>IF(OR(ISBLANK(Trades!R924), ISBLANK(Trades!H924), ISBLANK(Trades!I924)), "", IF(Trades!H924=Trades!I924, "N/A", (Trades!R924-Trades!H924)/(Trades!H924-Trades!I924)))</f>
        <v/>
      </c>
      <c r="V924" s="65" t="str">
        <f t="shared" si="115"/>
        <v/>
      </c>
      <c r="W924" s="66" t="str">
        <f t="shared" si="116"/>
        <v/>
      </c>
      <c r="X924" s="62" t="str">
        <f t="shared" si="117"/>
        <v/>
      </c>
      <c r="Y924" s="45"/>
      <c r="Z924" s="44"/>
      <c r="AA924" s="41"/>
      <c r="AB924" s="39"/>
      <c r="AC924" s="37" t="str">
        <f t="shared" si="118"/>
        <v/>
      </c>
    </row>
    <row r="925" spans="2:29" x14ac:dyDescent="0.25">
      <c r="B925" s="54">
        <v>919</v>
      </c>
      <c r="C925" s="168"/>
      <c r="D925" s="51"/>
      <c r="E925" s="29"/>
      <c r="F925" s="48"/>
      <c r="G925" s="29"/>
      <c r="H925" s="187"/>
      <c r="I925" s="187"/>
      <c r="J925" s="195"/>
      <c r="K925" s="86" t="str">
        <f t="shared" si="112"/>
        <v/>
      </c>
      <c r="L925" s="57" t="str">
        <f t="shared" si="119"/>
        <v/>
      </c>
      <c r="M925" s="186"/>
      <c r="N925" s="189"/>
      <c r="O925" s="190"/>
      <c r="P925" s="190" t="str">
        <f>IF(OR(ISBLANK(V925),COUNTBLANK(V925:$V$1048576)=ROWS(V925:$V$1048576)),"",$R$2*(1+SUM(V$7:V925)))</f>
        <v/>
      </c>
      <c r="Q925" s="191"/>
      <c r="R925" s="189"/>
      <c r="S925" s="53" t="str">
        <f t="shared" si="113"/>
        <v/>
      </c>
      <c r="T925" s="63" t="str">
        <f t="shared" si="114"/>
        <v/>
      </c>
      <c r="U925" s="64" t="str">
        <f>IF(OR(ISBLANK(Trades!R925), ISBLANK(Trades!H925), ISBLANK(Trades!I925)), "", IF(Trades!H925=Trades!I925, "N/A", (Trades!R925-Trades!H925)/(Trades!H925-Trades!I925)))</f>
        <v/>
      </c>
      <c r="V925" s="65" t="str">
        <f t="shared" si="115"/>
        <v/>
      </c>
      <c r="W925" s="66" t="str">
        <f t="shared" si="116"/>
        <v/>
      </c>
      <c r="X925" s="62" t="str">
        <f t="shared" si="117"/>
        <v/>
      </c>
      <c r="Y925" s="45"/>
      <c r="Z925" s="44"/>
      <c r="AA925" s="41"/>
      <c r="AB925" s="39"/>
      <c r="AC925" s="37" t="str">
        <f t="shared" si="118"/>
        <v/>
      </c>
    </row>
    <row r="926" spans="2:29" x14ac:dyDescent="0.25">
      <c r="B926" s="54">
        <v>920</v>
      </c>
      <c r="C926" s="168"/>
      <c r="D926" s="51"/>
      <c r="E926" s="29"/>
      <c r="F926" s="48"/>
      <c r="G926" s="29"/>
      <c r="H926" s="187"/>
      <c r="I926" s="187"/>
      <c r="J926" s="195"/>
      <c r="K926" s="86" t="str">
        <f t="shared" si="112"/>
        <v/>
      </c>
      <c r="L926" s="57" t="str">
        <f t="shared" si="119"/>
        <v/>
      </c>
      <c r="M926" s="186"/>
      <c r="N926" s="189"/>
      <c r="O926" s="190"/>
      <c r="P926" s="190" t="str">
        <f>IF(OR(ISBLANK(V926),COUNTBLANK(V926:$V$1048576)=ROWS(V926:$V$1048576)),"",$R$2*(1+SUM(V$7:V926)))</f>
        <v/>
      </c>
      <c r="Q926" s="191"/>
      <c r="R926" s="189"/>
      <c r="S926" s="53" t="str">
        <f t="shared" si="113"/>
        <v/>
      </c>
      <c r="T926" s="63" t="str">
        <f t="shared" si="114"/>
        <v/>
      </c>
      <c r="U926" s="64" t="str">
        <f>IF(OR(ISBLANK(Trades!R926), ISBLANK(Trades!H926), ISBLANK(Trades!I926)), "", IF(Trades!H926=Trades!I926, "N/A", (Trades!R926-Trades!H926)/(Trades!H926-Trades!I926)))</f>
        <v/>
      </c>
      <c r="V926" s="65" t="str">
        <f t="shared" si="115"/>
        <v/>
      </c>
      <c r="W926" s="66" t="str">
        <f t="shared" si="116"/>
        <v/>
      </c>
      <c r="X926" s="62" t="str">
        <f t="shared" si="117"/>
        <v/>
      </c>
      <c r="Y926" s="45"/>
      <c r="Z926" s="44"/>
      <c r="AA926" s="41"/>
      <c r="AB926" s="39"/>
      <c r="AC926" s="37" t="str">
        <f t="shared" si="118"/>
        <v/>
      </c>
    </row>
    <row r="927" spans="2:29" x14ac:dyDescent="0.25">
      <c r="B927" s="54">
        <v>921</v>
      </c>
      <c r="C927" s="168"/>
      <c r="D927" s="51"/>
      <c r="E927" s="29"/>
      <c r="F927" s="48"/>
      <c r="G927" s="29"/>
      <c r="H927" s="187"/>
      <c r="I927" s="187"/>
      <c r="J927" s="195"/>
      <c r="K927" s="86" t="str">
        <f t="shared" si="112"/>
        <v/>
      </c>
      <c r="L927" s="57" t="str">
        <f t="shared" si="119"/>
        <v/>
      </c>
      <c r="M927" s="186"/>
      <c r="N927" s="189"/>
      <c r="O927" s="190"/>
      <c r="P927" s="190" t="str">
        <f>IF(OR(ISBLANK(V927),COUNTBLANK(V927:$V$1048576)=ROWS(V927:$V$1048576)),"",$R$2*(1+SUM(V$7:V927)))</f>
        <v/>
      </c>
      <c r="Q927" s="191"/>
      <c r="R927" s="189"/>
      <c r="S927" s="53" t="str">
        <f t="shared" si="113"/>
        <v/>
      </c>
      <c r="T927" s="63" t="str">
        <f t="shared" si="114"/>
        <v/>
      </c>
      <c r="U927" s="64" t="str">
        <f>IF(OR(ISBLANK(Trades!R927), ISBLANK(Trades!H927), ISBLANK(Trades!I927)), "", IF(Trades!H927=Trades!I927, "N/A", (Trades!R927-Trades!H927)/(Trades!H927-Trades!I927)))</f>
        <v/>
      </c>
      <c r="V927" s="65" t="str">
        <f t="shared" si="115"/>
        <v/>
      </c>
      <c r="W927" s="66" t="str">
        <f t="shared" si="116"/>
        <v/>
      </c>
      <c r="X927" s="62" t="str">
        <f t="shared" si="117"/>
        <v/>
      </c>
      <c r="Y927" s="45"/>
      <c r="Z927" s="44"/>
      <c r="AA927" s="41"/>
      <c r="AB927" s="39"/>
      <c r="AC927" s="37" t="str">
        <f t="shared" si="118"/>
        <v/>
      </c>
    </row>
    <row r="928" spans="2:29" x14ac:dyDescent="0.25">
      <c r="B928" s="54">
        <v>922</v>
      </c>
      <c r="C928" s="168"/>
      <c r="D928" s="51"/>
      <c r="E928" s="29"/>
      <c r="F928" s="48"/>
      <c r="G928" s="29"/>
      <c r="H928" s="187"/>
      <c r="I928" s="187"/>
      <c r="J928" s="195"/>
      <c r="K928" s="86" t="str">
        <f t="shared" si="112"/>
        <v/>
      </c>
      <c r="L928" s="57" t="str">
        <f t="shared" si="119"/>
        <v/>
      </c>
      <c r="M928" s="186"/>
      <c r="N928" s="189"/>
      <c r="O928" s="190"/>
      <c r="P928" s="190" t="str">
        <f>IF(OR(ISBLANK(V928),COUNTBLANK(V928:$V$1048576)=ROWS(V928:$V$1048576)),"",$R$2*(1+SUM(V$7:V928)))</f>
        <v/>
      </c>
      <c r="Q928" s="191"/>
      <c r="R928" s="189"/>
      <c r="S928" s="53" t="str">
        <f t="shared" si="113"/>
        <v/>
      </c>
      <c r="T928" s="63" t="str">
        <f t="shared" si="114"/>
        <v/>
      </c>
      <c r="U928" s="64" t="str">
        <f>IF(OR(ISBLANK(Trades!R928), ISBLANK(Trades!H928), ISBLANK(Trades!I928)), "", IF(Trades!H928=Trades!I928, "N/A", (Trades!R928-Trades!H928)/(Trades!H928-Trades!I928)))</f>
        <v/>
      </c>
      <c r="V928" s="65" t="str">
        <f t="shared" si="115"/>
        <v/>
      </c>
      <c r="W928" s="66" t="str">
        <f t="shared" si="116"/>
        <v/>
      </c>
      <c r="X928" s="62" t="str">
        <f t="shared" si="117"/>
        <v/>
      </c>
      <c r="Y928" s="45"/>
      <c r="Z928" s="44"/>
      <c r="AA928" s="41"/>
      <c r="AB928" s="39"/>
      <c r="AC928" s="37" t="str">
        <f t="shared" si="118"/>
        <v/>
      </c>
    </row>
    <row r="929" spans="2:29" x14ac:dyDescent="0.25">
      <c r="B929" s="54">
        <v>923</v>
      </c>
      <c r="C929" s="168"/>
      <c r="D929" s="51"/>
      <c r="E929" s="29"/>
      <c r="F929" s="48"/>
      <c r="G929" s="29"/>
      <c r="H929" s="187"/>
      <c r="I929" s="187"/>
      <c r="J929" s="195"/>
      <c r="K929" s="86" t="str">
        <f t="shared" si="112"/>
        <v/>
      </c>
      <c r="L929" s="57" t="str">
        <f t="shared" si="119"/>
        <v/>
      </c>
      <c r="M929" s="186"/>
      <c r="N929" s="189"/>
      <c r="O929" s="190"/>
      <c r="P929" s="190" t="str">
        <f>IF(OR(ISBLANK(V929),COUNTBLANK(V929:$V$1048576)=ROWS(V929:$V$1048576)),"",$R$2*(1+SUM(V$7:V929)))</f>
        <v/>
      </c>
      <c r="Q929" s="191"/>
      <c r="R929" s="189"/>
      <c r="S929" s="53" t="str">
        <f t="shared" si="113"/>
        <v/>
      </c>
      <c r="T929" s="63" t="str">
        <f t="shared" si="114"/>
        <v/>
      </c>
      <c r="U929" s="64" t="str">
        <f>IF(OR(ISBLANK(Trades!R929), ISBLANK(Trades!H929), ISBLANK(Trades!I929)), "", IF(Trades!H929=Trades!I929, "N/A", (Trades!R929-Trades!H929)/(Trades!H929-Trades!I929)))</f>
        <v/>
      </c>
      <c r="V929" s="65" t="str">
        <f t="shared" si="115"/>
        <v/>
      </c>
      <c r="W929" s="66" t="str">
        <f t="shared" si="116"/>
        <v/>
      </c>
      <c r="X929" s="62" t="str">
        <f t="shared" si="117"/>
        <v/>
      </c>
      <c r="Y929" s="45"/>
      <c r="Z929" s="44"/>
      <c r="AA929" s="41"/>
      <c r="AB929" s="39"/>
      <c r="AC929" s="37" t="str">
        <f t="shared" si="118"/>
        <v/>
      </c>
    </row>
    <row r="930" spans="2:29" x14ac:dyDescent="0.25">
      <c r="B930" s="54">
        <v>924</v>
      </c>
      <c r="C930" s="168"/>
      <c r="D930" s="51"/>
      <c r="E930" s="29"/>
      <c r="F930" s="48"/>
      <c r="G930" s="29"/>
      <c r="H930" s="187"/>
      <c r="I930" s="187"/>
      <c r="J930" s="195"/>
      <c r="K930" s="86" t="str">
        <f t="shared" si="112"/>
        <v/>
      </c>
      <c r="L930" s="57" t="str">
        <f t="shared" si="119"/>
        <v/>
      </c>
      <c r="M930" s="186"/>
      <c r="N930" s="189"/>
      <c r="O930" s="190"/>
      <c r="P930" s="190" t="str">
        <f>IF(OR(ISBLANK(V930),COUNTBLANK(V930:$V$1048576)=ROWS(V930:$V$1048576)),"",$R$2*(1+SUM(V$7:V930)))</f>
        <v/>
      </c>
      <c r="Q930" s="191"/>
      <c r="R930" s="189"/>
      <c r="S930" s="53" t="str">
        <f t="shared" si="113"/>
        <v/>
      </c>
      <c r="T930" s="63" t="str">
        <f t="shared" si="114"/>
        <v/>
      </c>
      <c r="U930" s="64" t="str">
        <f>IF(OR(ISBLANK(Trades!R930), ISBLANK(Trades!H930), ISBLANK(Trades!I930)), "", IF(Trades!H930=Trades!I930, "N/A", (Trades!R930-Trades!H930)/(Trades!H930-Trades!I930)))</f>
        <v/>
      </c>
      <c r="V930" s="65" t="str">
        <f t="shared" si="115"/>
        <v/>
      </c>
      <c r="W930" s="66" t="str">
        <f t="shared" si="116"/>
        <v/>
      </c>
      <c r="X930" s="62" t="str">
        <f t="shared" si="117"/>
        <v/>
      </c>
      <c r="Y930" s="45"/>
      <c r="Z930" s="44"/>
      <c r="AA930" s="41"/>
      <c r="AB930" s="39"/>
      <c r="AC930" s="37" t="str">
        <f t="shared" si="118"/>
        <v/>
      </c>
    </row>
    <row r="931" spans="2:29" x14ac:dyDescent="0.25">
      <c r="B931" s="54">
        <v>925</v>
      </c>
      <c r="C931" s="168"/>
      <c r="D931" s="51"/>
      <c r="E931" s="29"/>
      <c r="F931" s="48"/>
      <c r="G931" s="29"/>
      <c r="H931" s="187"/>
      <c r="I931" s="187"/>
      <c r="J931" s="195"/>
      <c r="K931" s="86" t="str">
        <f t="shared" si="112"/>
        <v/>
      </c>
      <c r="L931" s="57" t="str">
        <f t="shared" si="119"/>
        <v/>
      </c>
      <c r="M931" s="186"/>
      <c r="N931" s="189"/>
      <c r="O931" s="190"/>
      <c r="P931" s="190" t="str">
        <f>IF(OR(ISBLANK(V931),COUNTBLANK(V931:$V$1048576)=ROWS(V931:$V$1048576)),"",$R$2*(1+SUM(V$7:V931)))</f>
        <v/>
      </c>
      <c r="Q931" s="191"/>
      <c r="R931" s="189"/>
      <c r="S931" s="53" t="str">
        <f t="shared" si="113"/>
        <v/>
      </c>
      <c r="T931" s="63" t="str">
        <f t="shared" si="114"/>
        <v/>
      </c>
      <c r="U931" s="64" t="str">
        <f>IF(OR(ISBLANK(Trades!R931), ISBLANK(Trades!H931), ISBLANK(Trades!I931)), "", IF(Trades!H931=Trades!I931, "N/A", (Trades!R931-Trades!H931)/(Trades!H931-Trades!I931)))</f>
        <v/>
      </c>
      <c r="V931" s="65" t="str">
        <f t="shared" si="115"/>
        <v/>
      </c>
      <c r="W931" s="66" t="str">
        <f t="shared" si="116"/>
        <v/>
      </c>
      <c r="X931" s="62" t="str">
        <f t="shared" si="117"/>
        <v/>
      </c>
      <c r="Y931" s="45"/>
      <c r="Z931" s="44"/>
      <c r="AA931" s="41"/>
      <c r="AB931" s="39"/>
      <c r="AC931" s="37" t="str">
        <f t="shared" si="118"/>
        <v/>
      </c>
    </row>
    <row r="932" spans="2:29" x14ac:dyDescent="0.25">
      <c r="B932" s="54">
        <v>926</v>
      </c>
      <c r="C932" s="168"/>
      <c r="D932" s="51"/>
      <c r="E932" s="29"/>
      <c r="F932" s="48"/>
      <c r="G932" s="29"/>
      <c r="H932" s="187"/>
      <c r="I932" s="187"/>
      <c r="J932" s="195"/>
      <c r="K932" s="86" t="str">
        <f t="shared" si="112"/>
        <v/>
      </c>
      <c r="L932" s="57" t="str">
        <f t="shared" si="119"/>
        <v/>
      </c>
      <c r="M932" s="186"/>
      <c r="N932" s="189"/>
      <c r="O932" s="190"/>
      <c r="P932" s="190" t="str">
        <f>IF(OR(ISBLANK(V932),COUNTBLANK(V932:$V$1048576)=ROWS(V932:$V$1048576)),"",$R$2*(1+SUM(V$7:V932)))</f>
        <v/>
      </c>
      <c r="Q932" s="191"/>
      <c r="R932" s="189"/>
      <c r="S932" s="53" t="str">
        <f t="shared" si="113"/>
        <v/>
      </c>
      <c r="T932" s="63" t="str">
        <f t="shared" si="114"/>
        <v/>
      </c>
      <c r="U932" s="64" t="str">
        <f>IF(OR(ISBLANK(Trades!R932), ISBLANK(Trades!H932), ISBLANK(Trades!I932)), "", IF(Trades!H932=Trades!I932, "N/A", (Trades!R932-Trades!H932)/(Trades!H932-Trades!I932)))</f>
        <v/>
      </c>
      <c r="V932" s="65" t="str">
        <f t="shared" si="115"/>
        <v/>
      </c>
      <c r="W932" s="66" t="str">
        <f t="shared" si="116"/>
        <v/>
      </c>
      <c r="X932" s="62" t="str">
        <f t="shared" si="117"/>
        <v/>
      </c>
      <c r="Y932" s="45"/>
      <c r="Z932" s="44"/>
      <c r="AA932" s="41"/>
      <c r="AB932" s="39"/>
      <c r="AC932" s="37" t="str">
        <f t="shared" si="118"/>
        <v/>
      </c>
    </row>
    <row r="933" spans="2:29" x14ac:dyDescent="0.25">
      <c r="B933" s="54">
        <v>927</v>
      </c>
      <c r="C933" s="168"/>
      <c r="D933" s="51"/>
      <c r="E933" s="29"/>
      <c r="F933" s="48"/>
      <c r="G933" s="29"/>
      <c r="H933" s="187"/>
      <c r="I933" s="187"/>
      <c r="J933" s="195"/>
      <c r="K933" s="86" t="str">
        <f t="shared" si="112"/>
        <v/>
      </c>
      <c r="L933" s="57" t="str">
        <f t="shared" si="119"/>
        <v/>
      </c>
      <c r="M933" s="186"/>
      <c r="N933" s="189"/>
      <c r="O933" s="190"/>
      <c r="P933" s="190" t="str">
        <f>IF(OR(ISBLANK(V933),COUNTBLANK(V933:$V$1048576)=ROWS(V933:$V$1048576)),"",$R$2*(1+SUM(V$7:V933)))</f>
        <v/>
      </c>
      <c r="Q933" s="191"/>
      <c r="R933" s="189"/>
      <c r="S933" s="53" t="str">
        <f t="shared" si="113"/>
        <v/>
      </c>
      <c r="T933" s="63" t="str">
        <f t="shared" si="114"/>
        <v/>
      </c>
      <c r="U933" s="64" t="str">
        <f>IF(OR(ISBLANK(Trades!R933), ISBLANK(Trades!H933), ISBLANK(Trades!I933)), "", IF(Trades!H933=Trades!I933, "N/A", (Trades!R933-Trades!H933)/(Trades!H933-Trades!I933)))</f>
        <v/>
      </c>
      <c r="V933" s="65" t="str">
        <f t="shared" si="115"/>
        <v/>
      </c>
      <c r="W933" s="66" t="str">
        <f t="shared" si="116"/>
        <v/>
      </c>
      <c r="X933" s="62" t="str">
        <f t="shared" si="117"/>
        <v/>
      </c>
      <c r="Y933" s="45"/>
      <c r="Z933" s="44"/>
      <c r="AA933" s="41"/>
      <c r="AB933" s="39"/>
      <c r="AC933" s="37" t="str">
        <f t="shared" si="118"/>
        <v/>
      </c>
    </row>
    <row r="934" spans="2:29" x14ac:dyDescent="0.25">
      <c r="B934" s="54">
        <v>928</v>
      </c>
      <c r="C934" s="168"/>
      <c r="D934" s="51"/>
      <c r="E934" s="29"/>
      <c r="F934" s="48"/>
      <c r="G934" s="29"/>
      <c r="H934" s="187"/>
      <c r="I934" s="187"/>
      <c r="J934" s="195"/>
      <c r="K934" s="86" t="str">
        <f t="shared" si="112"/>
        <v/>
      </c>
      <c r="L934" s="57" t="str">
        <f t="shared" si="119"/>
        <v/>
      </c>
      <c r="M934" s="186"/>
      <c r="N934" s="189"/>
      <c r="O934" s="190"/>
      <c r="P934" s="190" t="str">
        <f>IF(OR(ISBLANK(V934),COUNTBLANK(V934:$V$1048576)=ROWS(V934:$V$1048576)),"",$R$2*(1+SUM(V$7:V934)))</f>
        <v/>
      </c>
      <c r="Q934" s="191"/>
      <c r="R934" s="189"/>
      <c r="S934" s="53" t="str">
        <f t="shared" si="113"/>
        <v/>
      </c>
      <c r="T934" s="63" t="str">
        <f t="shared" si="114"/>
        <v/>
      </c>
      <c r="U934" s="64" t="str">
        <f>IF(OR(ISBLANK(Trades!R934), ISBLANK(Trades!H934), ISBLANK(Trades!I934)), "", IF(Trades!H934=Trades!I934, "N/A", (Trades!R934-Trades!H934)/(Trades!H934-Trades!I934)))</f>
        <v/>
      </c>
      <c r="V934" s="65" t="str">
        <f t="shared" si="115"/>
        <v/>
      </c>
      <c r="W934" s="66" t="str">
        <f t="shared" si="116"/>
        <v/>
      </c>
      <c r="X934" s="62" t="str">
        <f t="shared" si="117"/>
        <v/>
      </c>
      <c r="Y934" s="45"/>
      <c r="Z934" s="44"/>
      <c r="AA934" s="41"/>
      <c r="AB934" s="39"/>
      <c r="AC934" s="37" t="str">
        <f t="shared" si="118"/>
        <v/>
      </c>
    </row>
    <row r="935" spans="2:29" x14ac:dyDescent="0.25">
      <c r="B935" s="54">
        <v>929</v>
      </c>
      <c r="C935" s="168"/>
      <c r="D935" s="51"/>
      <c r="E935" s="29"/>
      <c r="F935" s="48"/>
      <c r="G935" s="29"/>
      <c r="H935" s="187"/>
      <c r="I935" s="187"/>
      <c r="J935" s="195"/>
      <c r="K935" s="86" t="str">
        <f t="shared" si="112"/>
        <v/>
      </c>
      <c r="L935" s="57" t="str">
        <f t="shared" si="119"/>
        <v/>
      </c>
      <c r="M935" s="186"/>
      <c r="N935" s="189"/>
      <c r="O935" s="190"/>
      <c r="P935" s="190" t="str">
        <f>IF(OR(ISBLANK(V935),COUNTBLANK(V935:$V$1048576)=ROWS(V935:$V$1048576)),"",$R$2*(1+SUM(V$7:V935)))</f>
        <v/>
      </c>
      <c r="Q935" s="191"/>
      <c r="R935" s="189"/>
      <c r="S935" s="53" t="str">
        <f t="shared" si="113"/>
        <v/>
      </c>
      <c r="T935" s="63" t="str">
        <f t="shared" si="114"/>
        <v/>
      </c>
      <c r="U935" s="64" t="str">
        <f>IF(OR(ISBLANK(Trades!R935), ISBLANK(Trades!H935), ISBLANK(Trades!I935)), "", IF(Trades!H935=Trades!I935, "N/A", (Trades!R935-Trades!H935)/(Trades!H935-Trades!I935)))</f>
        <v/>
      </c>
      <c r="V935" s="65" t="str">
        <f t="shared" si="115"/>
        <v/>
      </c>
      <c r="W935" s="66" t="str">
        <f t="shared" si="116"/>
        <v/>
      </c>
      <c r="X935" s="62" t="str">
        <f t="shared" si="117"/>
        <v/>
      </c>
      <c r="Y935" s="45"/>
      <c r="Z935" s="44"/>
      <c r="AA935" s="41"/>
      <c r="AB935" s="39"/>
      <c r="AC935" s="37" t="str">
        <f t="shared" si="118"/>
        <v/>
      </c>
    </row>
    <row r="936" spans="2:29" x14ac:dyDescent="0.25">
      <c r="B936" s="54">
        <v>930</v>
      </c>
      <c r="C936" s="168"/>
      <c r="D936" s="51"/>
      <c r="E936" s="29"/>
      <c r="F936" s="48"/>
      <c r="G936" s="29"/>
      <c r="H936" s="187"/>
      <c r="I936" s="187"/>
      <c r="J936" s="195"/>
      <c r="K936" s="86" t="str">
        <f t="shared" si="112"/>
        <v/>
      </c>
      <c r="L936" s="57" t="str">
        <f t="shared" si="119"/>
        <v/>
      </c>
      <c r="M936" s="186"/>
      <c r="N936" s="189"/>
      <c r="O936" s="190"/>
      <c r="P936" s="190" t="str">
        <f>IF(OR(ISBLANK(V936),COUNTBLANK(V936:$V$1048576)=ROWS(V936:$V$1048576)),"",$R$2*(1+SUM(V$7:V936)))</f>
        <v/>
      </c>
      <c r="Q936" s="191"/>
      <c r="R936" s="189"/>
      <c r="S936" s="53" t="str">
        <f t="shared" si="113"/>
        <v/>
      </c>
      <c r="T936" s="63" t="str">
        <f t="shared" si="114"/>
        <v/>
      </c>
      <c r="U936" s="64" t="str">
        <f>IF(OR(ISBLANK(Trades!R936), ISBLANK(Trades!H936), ISBLANK(Trades!I936)), "", IF(Trades!H936=Trades!I936, "N/A", (Trades!R936-Trades!H936)/(Trades!H936-Trades!I936)))</f>
        <v/>
      </c>
      <c r="V936" s="65" t="str">
        <f t="shared" si="115"/>
        <v/>
      </c>
      <c r="W936" s="66" t="str">
        <f t="shared" si="116"/>
        <v/>
      </c>
      <c r="X936" s="62" t="str">
        <f t="shared" si="117"/>
        <v/>
      </c>
      <c r="Y936" s="45"/>
      <c r="Z936" s="44"/>
      <c r="AA936" s="41"/>
      <c r="AB936" s="39"/>
      <c r="AC936" s="37" t="str">
        <f t="shared" si="118"/>
        <v/>
      </c>
    </row>
    <row r="937" spans="2:29" x14ac:dyDescent="0.25">
      <c r="B937" s="54">
        <v>931</v>
      </c>
      <c r="C937" s="168"/>
      <c r="D937" s="51"/>
      <c r="E937" s="29"/>
      <c r="F937" s="48"/>
      <c r="G937" s="29"/>
      <c r="H937" s="187"/>
      <c r="I937" s="187"/>
      <c r="J937" s="195"/>
      <c r="K937" s="86" t="str">
        <f t="shared" si="112"/>
        <v/>
      </c>
      <c r="L937" s="57" t="str">
        <f t="shared" si="119"/>
        <v/>
      </c>
      <c r="M937" s="186"/>
      <c r="N937" s="189"/>
      <c r="O937" s="190"/>
      <c r="P937" s="190" t="str">
        <f>IF(OR(ISBLANK(V937),COUNTBLANK(V937:$V$1048576)=ROWS(V937:$V$1048576)),"",$R$2*(1+SUM(V$7:V937)))</f>
        <v/>
      </c>
      <c r="Q937" s="191"/>
      <c r="R937" s="189"/>
      <c r="S937" s="53" t="str">
        <f t="shared" si="113"/>
        <v/>
      </c>
      <c r="T937" s="63" t="str">
        <f t="shared" si="114"/>
        <v/>
      </c>
      <c r="U937" s="64" t="str">
        <f>IF(OR(ISBLANK(Trades!R937), ISBLANK(Trades!H937), ISBLANK(Trades!I937)), "", IF(Trades!H937=Trades!I937, "N/A", (Trades!R937-Trades!H937)/(Trades!H937-Trades!I937)))</f>
        <v/>
      </c>
      <c r="V937" s="65" t="str">
        <f t="shared" si="115"/>
        <v/>
      </c>
      <c r="W937" s="66" t="str">
        <f t="shared" si="116"/>
        <v/>
      </c>
      <c r="X937" s="62" t="str">
        <f t="shared" si="117"/>
        <v/>
      </c>
      <c r="Y937" s="45"/>
      <c r="Z937" s="44"/>
      <c r="AA937" s="41"/>
      <c r="AB937" s="39"/>
      <c r="AC937" s="37" t="str">
        <f t="shared" si="118"/>
        <v/>
      </c>
    </row>
    <row r="938" spans="2:29" x14ac:dyDescent="0.25">
      <c r="B938" s="54">
        <v>932</v>
      </c>
      <c r="C938" s="168"/>
      <c r="D938" s="51"/>
      <c r="E938" s="29"/>
      <c r="F938" s="48"/>
      <c r="G938" s="29"/>
      <c r="H938" s="187"/>
      <c r="I938" s="187"/>
      <c r="J938" s="195"/>
      <c r="K938" s="86" t="str">
        <f t="shared" si="112"/>
        <v/>
      </c>
      <c r="L938" s="57" t="str">
        <f t="shared" si="119"/>
        <v/>
      </c>
      <c r="M938" s="186"/>
      <c r="N938" s="189"/>
      <c r="O938" s="190"/>
      <c r="P938" s="190" t="str">
        <f>IF(OR(ISBLANK(V938),COUNTBLANK(V938:$V$1048576)=ROWS(V938:$V$1048576)),"",$R$2*(1+SUM(V$7:V938)))</f>
        <v/>
      </c>
      <c r="Q938" s="191"/>
      <c r="R938" s="189"/>
      <c r="S938" s="53" t="str">
        <f t="shared" si="113"/>
        <v/>
      </c>
      <c r="T938" s="63" t="str">
        <f t="shared" si="114"/>
        <v/>
      </c>
      <c r="U938" s="64" t="str">
        <f>IF(OR(ISBLANK(Trades!R938), ISBLANK(Trades!H938), ISBLANK(Trades!I938)), "", IF(Trades!H938=Trades!I938, "N/A", (Trades!R938-Trades!H938)/(Trades!H938-Trades!I938)))</f>
        <v/>
      </c>
      <c r="V938" s="65" t="str">
        <f t="shared" si="115"/>
        <v/>
      </c>
      <c r="W938" s="66" t="str">
        <f t="shared" si="116"/>
        <v/>
      </c>
      <c r="X938" s="62" t="str">
        <f t="shared" si="117"/>
        <v/>
      </c>
      <c r="Y938" s="45"/>
      <c r="Z938" s="44"/>
      <c r="AA938" s="41"/>
      <c r="AB938" s="39"/>
      <c r="AC938" s="37" t="str">
        <f t="shared" si="118"/>
        <v/>
      </c>
    </row>
    <row r="939" spans="2:29" x14ac:dyDescent="0.25">
      <c r="B939" s="54">
        <v>933</v>
      </c>
      <c r="C939" s="168"/>
      <c r="D939" s="51"/>
      <c r="E939" s="29"/>
      <c r="F939" s="48"/>
      <c r="G939" s="29"/>
      <c r="H939" s="187"/>
      <c r="I939" s="187"/>
      <c r="J939" s="195"/>
      <c r="K939" s="86" t="str">
        <f t="shared" si="112"/>
        <v/>
      </c>
      <c r="L939" s="57" t="str">
        <f t="shared" si="119"/>
        <v/>
      </c>
      <c r="M939" s="186"/>
      <c r="N939" s="189"/>
      <c r="O939" s="190"/>
      <c r="P939" s="190" t="str">
        <f>IF(OR(ISBLANK(V939),COUNTBLANK(V939:$V$1048576)=ROWS(V939:$V$1048576)),"",$R$2*(1+SUM(V$7:V939)))</f>
        <v/>
      </c>
      <c r="Q939" s="191"/>
      <c r="R939" s="189"/>
      <c r="S939" s="53" t="str">
        <f t="shared" si="113"/>
        <v/>
      </c>
      <c r="T939" s="63" t="str">
        <f t="shared" si="114"/>
        <v/>
      </c>
      <c r="U939" s="64" t="str">
        <f>IF(OR(ISBLANK(Trades!R939), ISBLANK(Trades!H939), ISBLANK(Trades!I939)), "", IF(Trades!H939=Trades!I939, "N/A", (Trades!R939-Trades!H939)/(Trades!H939-Trades!I939)))</f>
        <v/>
      </c>
      <c r="V939" s="65" t="str">
        <f t="shared" si="115"/>
        <v/>
      </c>
      <c r="W939" s="66" t="str">
        <f t="shared" si="116"/>
        <v/>
      </c>
      <c r="X939" s="62" t="str">
        <f t="shared" si="117"/>
        <v/>
      </c>
      <c r="Y939" s="45"/>
      <c r="Z939" s="44"/>
      <c r="AA939" s="41"/>
      <c r="AB939" s="39"/>
      <c r="AC939" s="37" t="str">
        <f t="shared" si="118"/>
        <v/>
      </c>
    </row>
    <row r="940" spans="2:29" x14ac:dyDescent="0.25">
      <c r="B940" s="54">
        <v>934</v>
      </c>
      <c r="C940" s="168"/>
      <c r="D940" s="51"/>
      <c r="E940" s="29"/>
      <c r="F940" s="48"/>
      <c r="G940" s="29"/>
      <c r="H940" s="187"/>
      <c r="I940" s="187"/>
      <c r="J940" s="195"/>
      <c r="K940" s="86" t="str">
        <f t="shared" si="112"/>
        <v/>
      </c>
      <c r="L940" s="57" t="str">
        <f t="shared" si="119"/>
        <v/>
      </c>
      <c r="M940" s="186"/>
      <c r="N940" s="189"/>
      <c r="O940" s="190"/>
      <c r="P940" s="190" t="str">
        <f>IF(OR(ISBLANK(V940),COUNTBLANK(V940:$V$1048576)=ROWS(V940:$V$1048576)),"",$R$2*(1+SUM(V$7:V940)))</f>
        <v/>
      </c>
      <c r="Q940" s="191"/>
      <c r="R940" s="189"/>
      <c r="S940" s="53" t="str">
        <f t="shared" si="113"/>
        <v/>
      </c>
      <c r="T940" s="63" t="str">
        <f t="shared" si="114"/>
        <v/>
      </c>
      <c r="U940" s="64" t="str">
        <f>IF(OR(ISBLANK(Trades!R940), ISBLANK(Trades!H940), ISBLANK(Trades!I940)), "", IF(Trades!H940=Trades!I940, "N/A", (Trades!R940-Trades!H940)/(Trades!H940-Trades!I940)))</f>
        <v/>
      </c>
      <c r="V940" s="65" t="str">
        <f t="shared" si="115"/>
        <v/>
      </c>
      <c r="W940" s="66" t="str">
        <f t="shared" si="116"/>
        <v/>
      </c>
      <c r="X940" s="62" t="str">
        <f t="shared" si="117"/>
        <v/>
      </c>
      <c r="Y940" s="45"/>
      <c r="Z940" s="44"/>
      <c r="AA940" s="41"/>
      <c r="AB940" s="39"/>
      <c r="AC940" s="37" t="str">
        <f t="shared" si="118"/>
        <v/>
      </c>
    </row>
    <row r="941" spans="2:29" x14ac:dyDescent="0.25">
      <c r="B941" s="54">
        <v>935</v>
      </c>
      <c r="C941" s="168"/>
      <c r="D941" s="51"/>
      <c r="E941" s="29"/>
      <c r="F941" s="48"/>
      <c r="G941" s="29"/>
      <c r="H941" s="187"/>
      <c r="I941" s="187"/>
      <c r="J941" s="195"/>
      <c r="K941" s="86" t="str">
        <f t="shared" si="112"/>
        <v/>
      </c>
      <c r="L941" s="57" t="str">
        <f t="shared" si="119"/>
        <v/>
      </c>
      <c r="M941" s="186"/>
      <c r="N941" s="189"/>
      <c r="O941" s="190"/>
      <c r="P941" s="190" t="str">
        <f>IF(OR(ISBLANK(V941),COUNTBLANK(V941:$V$1048576)=ROWS(V941:$V$1048576)),"",$R$2*(1+SUM(V$7:V941)))</f>
        <v/>
      </c>
      <c r="Q941" s="191"/>
      <c r="R941" s="189"/>
      <c r="S941" s="53" t="str">
        <f t="shared" si="113"/>
        <v/>
      </c>
      <c r="T941" s="63" t="str">
        <f t="shared" si="114"/>
        <v/>
      </c>
      <c r="U941" s="64" t="str">
        <f>IF(OR(ISBLANK(Trades!R941), ISBLANK(Trades!H941), ISBLANK(Trades!I941)), "", IF(Trades!H941=Trades!I941, "N/A", (Trades!R941-Trades!H941)/(Trades!H941-Trades!I941)))</f>
        <v/>
      </c>
      <c r="V941" s="65" t="str">
        <f t="shared" si="115"/>
        <v/>
      </c>
      <c r="W941" s="66" t="str">
        <f t="shared" si="116"/>
        <v/>
      </c>
      <c r="X941" s="62" t="str">
        <f t="shared" si="117"/>
        <v/>
      </c>
      <c r="Y941" s="45"/>
      <c r="Z941" s="44"/>
      <c r="AA941" s="41"/>
      <c r="AB941" s="39"/>
      <c r="AC941" s="37" t="str">
        <f t="shared" si="118"/>
        <v/>
      </c>
    </row>
    <row r="942" spans="2:29" x14ac:dyDescent="0.25">
      <c r="B942" s="54">
        <v>936</v>
      </c>
      <c r="C942" s="168"/>
      <c r="D942" s="51"/>
      <c r="E942" s="29"/>
      <c r="F942" s="48"/>
      <c r="G942" s="29"/>
      <c r="H942" s="187"/>
      <c r="I942" s="187"/>
      <c r="J942" s="195"/>
      <c r="K942" s="86" t="str">
        <f t="shared" si="112"/>
        <v/>
      </c>
      <c r="L942" s="57" t="str">
        <f t="shared" si="119"/>
        <v/>
      </c>
      <c r="M942" s="186"/>
      <c r="N942" s="189"/>
      <c r="O942" s="190"/>
      <c r="P942" s="190" t="str">
        <f>IF(OR(ISBLANK(V942),COUNTBLANK(V942:$V$1048576)=ROWS(V942:$V$1048576)),"",$R$2*(1+SUM(V$7:V942)))</f>
        <v/>
      </c>
      <c r="Q942" s="191"/>
      <c r="R942" s="189"/>
      <c r="S942" s="53" t="str">
        <f t="shared" si="113"/>
        <v/>
      </c>
      <c r="T942" s="63" t="str">
        <f t="shared" si="114"/>
        <v/>
      </c>
      <c r="U942" s="64" t="str">
        <f>IF(OR(ISBLANK(Trades!R942), ISBLANK(Trades!H942), ISBLANK(Trades!I942)), "", IF(Trades!H942=Trades!I942, "N/A", (Trades!R942-Trades!H942)/(Trades!H942-Trades!I942)))</f>
        <v/>
      </c>
      <c r="V942" s="65" t="str">
        <f t="shared" si="115"/>
        <v/>
      </c>
      <c r="W942" s="66" t="str">
        <f t="shared" si="116"/>
        <v/>
      </c>
      <c r="X942" s="62" t="str">
        <f t="shared" si="117"/>
        <v/>
      </c>
      <c r="Y942" s="45"/>
      <c r="Z942" s="44"/>
      <c r="AA942" s="41"/>
      <c r="AB942" s="39"/>
      <c r="AC942" s="37" t="str">
        <f t="shared" si="118"/>
        <v/>
      </c>
    </row>
    <row r="943" spans="2:29" x14ac:dyDescent="0.25">
      <c r="B943" s="54">
        <v>937</v>
      </c>
      <c r="C943" s="168"/>
      <c r="D943" s="51"/>
      <c r="E943" s="29"/>
      <c r="F943" s="48"/>
      <c r="G943" s="29"/>
      <c r="H943" s="187"/>
      <c r="I943" s="187"/>
      <c r="J943" s="195"/>
      <c r="K943" s="86" t="str">
        <f t="shared" si="112"/>
        <v/>
      </c>
      <c r="L943" s="57" t="str">
        <f t="shared" si="119"/>
        <v/>
      </c>
      <c r="M943" s="186"/>
      <c r="N943" s="189"/>
      <c r="O943" s="190"/>
      <c r="P943" s="190" t="str">
        <f>IF(OR(ISBLANK(V943),COUNTBLANK(V943:$V$1048576)=ROWS(V943:$V$1048576)),"",$R$2*(1+SUM(V$7:V943)))</f>
        <v/>
      </c>
      <c r="Q943" s="191"/>
      <c r="R943" s="189"/>
      <c r="S943" s="53" t="str">
        <f t="shared" si="113"/>
        <v/>
      </c>
      <c r="T943" s="63" t="str">
        <f t="shared" si="114"/>
        <v/>
      </c>
      <c r="U943" s="64" t="str">
        <f>IF(OR(ISBLANK(Trades!R943), ISBLANK(Trades!H943), ISBLANK(Trades!I943)), "", IF(Trades!H943=Trades!I943, "N/A", (Trades!R943-Trades!H943)/(Trades!H943-Trades!I943)))</f>
        <v/>
      </c>
      <c r="V943" s="65" t="str">
        <f t="shared" si="115"/>
        <v/>
      </c>
      <c r="W943" s="66" t="str">
        <f t="shared" si="116"/>
        <v/>
      </c>
      <c r="X943" s="62" t="str">
        <f t="shared" si="117"/>
        <v/>
      </c>
      <c r="Y943" s="45"/>
      <c r="Z943" s="44"/>
      <c r="AA943" s="41"/>
      <c r="AB943" s="39"/>
      <c r="AC943" s="37" t="str">
        <f t="shared" si="118"/>
        <v/>
      </c>
    </row>
    <row r="944" spans="2:29" x14ac:dyDescent="0.25">
      <c r="B944" s="54">
        <v>938</v>
      </c>
      <c r="C944" s="168"/>
      <c r="D944" s="51"/>
      <c r="E944" s="29"/>
      <c r="F944" s="48"/>
      <c r="G944" s="29"/>
      <c r="H944" s="187"/>
      <c r="I944" s="187"/>
      <c r="J944" s="195"/>
      <c r="K944" s="86" t="str">
        <f t="shared" si="112"/>
        <v/>
      </c>
      <c r="L944" s="57" t="str">
        <f t="shared" si="119"/>
        <v/>
      </c>
      <c r="M944" s="186"/>
      <c r="N944" s="189"/>
      <c r="O944" s="190"/>
      <c r="P944" s="190" t="str">
        <f>IF(OR(ISBLANK(V944),COUNTBLANK(V944:$V$1048576)=ROWS(V944:$V$1048576)),"",$R$2*(1+SUM(V$7:V944)))</f>
        <v/>
      </c>
      <c r="Q944" s="191"/>
      <c r="R944" s="189"/>
      <c r="S944" s="53" t="str">
        <f t="shared" si="113"/>
        <v/>
      </c>
      <c r="T944" s="63" t="str">
        <f t="shared" si="114"/>
        <v/>
      </c>
      <c r="U944" s="64" t="str">
        <f>IF(OR(ISBLANK(Trades!R944), ISBLANK(Trades!H944), ISBLANK(Trades!I944)), "", IF(Trades!H944=Trades!I944, "N/A", (Trades!R944-Trades!H944)/(Trades!H944-Trades!I944)))</f>
        <v/>
      </c>
      <c r="V944" s="65" t="str">
        <f t="shared" si="115"/>
        <v/>
      </c>
      <c r="W944" s="66" t="str">
        <f t="shared" si="116"/>
        <v/>
      </c>
      <c r="X944" s="62" t="str">
        <f t="shared" si="117"/>
        <v/>
      </c>
      <c r="Y944" s="45"/>
      <c r="Z944" s="44"/>
      <c r="AA944" s="41"/>
      <c r="AB944" s="39"/>
      <c r="AC944" s="37" t="str">
        <f t="shared" si="118"/>
        <v/>
      </c>
    </row>
    <row r="945" spans="2:29" x14ac:dyDescent="0.25">
      <c r="B945" s="54">
        <v>939</v>
      </c>
      <c r="C945" s="168"/>
      <c r="D945" s="51"/>
      <c r="E945" s="29"/>
      <c r="F945" s="48"/>
      <c r="G945" s="29"/>
      <c r="H945" s="187"/>
      <c r="I945" s="187"/>
      <c r="J945" s="195"/>
      <c r="K945" s="86" t="str">
        <f t="shared" si="112"/>
        <v/>
      </c>
      <c r="L945" s="57" t="str">
        <f t="shared" si="119"/>
        <v/>
      </c>
      <c r="M945" s="186"/>
      <c r="N945" s="189"/>
      <c r="O945" s="190"/>
      <c r="P945" s="190" t="str">
        <f>IF(OR(ISBLANK(V945),COUNTBLANK(V945:$V$1048576)=ROWS(V945:$V$1048576)),"",$R$2*(1+SUM(V$7:V945)))</f>
        <v/>
      </c>
      <c r="Q945" s="191"/>
      <c r="R945" s="189"/>
      <c r="S945" s="53" t="str">
        <f t="shared" si="113"/>
        <v/>
      </c>
      <c r="T945" s="63" t="str">
        <f t="shared" si="114"/>
        <v/>
      </c>
      <c r="U945" s="64" t="str">
        <f>IF(OR(ISBLANK(Trades!R945), ISBLANK(Trades!H945), ISBLANK(Trades!I945)), "", IF(Trades!H945=Trades!I945, "N/A", (Trades!R945-Trades!H945)/(Trades!H945-Trades!I945)))</f>
        <v/>
      </c>
      <c r="V945" s="65" t="str">
        <f t="shared" si="115"/>
        <v/>
      </c>
      <c r="W945" s="66" t="str">
        <f t="shared" si="116"/>
        <v/>
      </c>
      <c r="X945" s="62" t="str">
        <f t="shared" si="117"/>
        <v/>
      </c>
      <c r="Y945" s="45"/>
      <c r="Z945" s="44"/>
      <c r="AA945" s="41"/>
      <c r="AB945" s="39"/>
      <c r="AC945" s="37" t="str">
        <f t="shared" si="118"/>
        <v/>
      </c>
    </row>
    <row r="946" spans="2:29" x14ac:dyDescent="0.25">
      <c r="B946" s="54">
        <v>940</v>
      </c>
      <c r="C946" s="168"/>
      <c r="D946" s="51"/>
      <c r="E946" s="29"/>
      <c r="F946" s="48"/>
      <c r="G946" s="29"/>
      <c r="H946" s="187"/>
      <c r="I946" s="187"/>
      <c r="J946" s="195"/>
      <c r="K946" s="86" t="str">
        <f t="shared" si="112"/>
        <v/>
      </c>
      <c r="L946" s="57" t="str">
        <f t="shared" si="119"/>
        <v/>
      </c>
      <c r="M946" s="186"/>
      <c r="N946" s="189"/>
      <c r="O946" s="190"/>
      <c r="P946" s="190" t="str">
        <f>IF(OR(ISBLANK(V946),COUNTBLANK(V946:$V$1048576)=ROWS(V946:$V$1048576)),"",$R$2*(1+SUM(V$7:V946)))</f>
        <v/>
      </c>
      <c r="Q946" s="191"/>
      <c r="R946" s="189"/>
      <c r="S946" s="53" t="str">
        <f t="shared" si="113"/>
        <v/>
      </c>
      <c r="T946" s="63" t="str">
        <f t="shared" si="114"/>
        <v/>
      </c>
      <c r="U946" s="64" t="str">
        <f>IF(OR(ISBLANK(Trades!R946), ISBLANK(Trades!H946), ISBLANK(Trades!I946)), "", IF(Trades!H946=Trades!I946, "N/A", (Trades!R946-Trades!H946)/(Trades!H946-Trades!I946)))</f>
        <v/>
      </c>
      <c r="V946" s="65" t="str">
        <f t="shared" si="115"/>
        <v/>
      </c>
      <c r="W946" s="66" t="str">
        <f t="shared" si="116"/>
        <v/>
      </c>
      <c r="X946" s="62" t="str">
        <f t="shared" si="117"/>
        <v/>
      </c>
      <c r="Y946" s="45"/>
      <c r="Z946" s="44"/>
      <c r="AA946" s="41"/>
      <c r="AB946" s="39"/>
      <c r="AC946" s="37" t="str">
        <f t="shared" si="118"/>
        <v/>
      </c>
    </row>
    <row r="947" spans="2:29" x14ac:dyDescent="0.25">
      <c r="B947" s="54">
        <v>941</v>
      </c>
      <c r="C947" s="168"/>
      <c r="D947" s="51"/>
      <c r="E947" s="29"/>
      <c r="F947" s="48"/>
      <c r="G947" s="29"/>
      <c r="H947" s="187"/>
      <c r="I947" s="187"/>
      <c r="J947" s="195"/>
      <c r="K947" s="86" t="str">
        <f t="shared" si="112"/>
        <v/>
      </c>
      <c r="L947" s="57" t="str">
        <f t="shared" si="119"/>
        <v/>
      </c>
      <c r="M947" s="186"/>
      <c r="N947" s="189"/>
      <c r="O947" s="190"/>
      <c r="P947" s="190" t="str">
        <f>IF(OR(ISBLANK(V947),COUNTBLANK(V947:$V$1048576)=ROWS(V947:$V$1048576)),"",$R$2*(1+SUM(V$7:V947)))</f>
        <v/>
      </c>
      <c r="Q947" s="191"/>
      <c r="R947" s="189"/>
      <c r="S947" s="53" t="str">
        <f t="shared" si="113"/>
        <v/>
      </c>
      <c r="T947" s="63" t="str">
        <f t="shared" si="114"/>
        <v/>
      </c>
      <c r="U947" s="64" t="str">
        <f>IF(OR(ISBLANK(Trades!R947), ISBLANK(Trades!H947), ISBLANK(Trades!I947)), "", IF(Trades!H947=Trades!I947, "N/A", (Trades!R947-Trades!H947)/(Trades!H947-Trades!I947)))</f>
        <v/>
      </c>
      <c r="V947" s="65" t="str">
        <f t="shared" si="115"/>
        <v/>
      </c>
      <c r="W947" s="66" t="str">
        <f t="shared" si="116"/>
        <v/>
      </c>
      <c r="X947" s="62" t="str">
        <f t="shared" si="117"/>
        <v/>
      </c>
      <c r="Y947" s="45"/>
      <c r="Z947" s="44"/>
      <c r="AA947" s="41"/>
      <c r="AB947" s="39"/>
      <c r="AC947" s="37" t="str">
        <f t="shared" si="118"/>
        <v/>
      </c>
    </row>
    <row r="948" spans="2:29" x14ac:dyDescent="0.25">
      <c r="B948" s="54">
        <v>942</v>
      </c>
      <c r="C948" s="168"/>
      <c r="D948" s="51"/>
      <c r="E948" s="29"/>
      <c r="F948" s="48"/>
      <c r="G948" s="29"/>
      <c r="H948" s="187"/>
      <c r="I948" s="187"/>
      <c r="J948" s="195"/>
      <c r="K948" s="86" t="str">
        <f t="shared" si="112"/>
        <v/>
      </c>
      <c r="L948" s="57" t="str">
        <f t="shared" si="119"/>
        <v/>
      </c>
      <c r="M948" s="186"/>
      <c r="N948" s="189"/>
      <c r="O948" s="190"/>
      <c r="P948" s="190" t="str">
        <f>IF(OR(ISBLANK(V948),COUNTBLANK(V948:$V$1048576)=ROWS(V948:$V$1048576)),"",$R$2*(1+SUM(V$7:V948)))</f>
        <v/>
      </c>
      <c r="Q948" s="191"/>
      <c r="R948" s="189"/>
      <c r="S948" s="53" t="str">
        <f t="shared" si="113"/>
        <v/>
      </c>
      <c r="T948" s="63" t="str">
        <f t="shared" si="114"/>
        <v/>
      </c>
      <c r="U948" s="64" t="str">
        <f>IF(OR(ISBLANK(Trades!R948), ISBLANK(Trades!H948), ISBLANK(Trades!I948)), "", IF(Trades!H948=Trades!I948, "N/A", (Trades!R948-Trades!H948)/(Trades!H948-Trades!I948)))</f>
        <v/>
      </c>
      <c r="V948" s="65" t="str">
        <f t="shared" si="115"/>
        <v/>
      </c>
      <c r="W948" s="66" t="str">
        <f t="shared" si="116"/>
        <v/>
      </c>
      <c r="X948" s="62" t="str">
        <f t="shared" si="117"/>
        <v/>
      </c>
      <c r="Y948" s="45"/>
      <c r="Z948" s="44"/>
      <c r="AA948" s="41"/>
      <c r="AB948" s="39"/>
      <c r="AC948" s="37" t="str">
        <f t="shared" si="118"/>
        <v/>
      </c>
    </row>
    <row r="949" spans="2:29" x14ac:dyDescent="0.25">
      <c r="B949" s="54">
        <v>943</v>
      </c>
      <c r="C949" s="168"/>
      <c r="D949" s="51"/>
      <c r="E949" s="29"/>
      <c r="F949" s="48"/>
      <c r="G949" s="29"/>
      <c r="H949" s="187"/>
      <c r="I949" s="187"/>
      <c r="J949" s="195"/>
      <c r="K949" s="86" t="str">
        <f t="shared" si="112"/>
        <v/>
      </c>
      <c r="L949" s="57" t="str">
        <f t="shared" si="119"/>
        <v/>
      </c>
      <c r="M949" s="186"/>
      <c r="N949" s="189"/>
      <c r="O949" s="190"/>
      <c r="P949" s="190" t="str">
        <f>IF(OR(ISBLANK(V949),COUNTBLANK(V949:$V$1048576)=ROWS(V949:$V$1048576)),"",$R$2*(1+SUM(V$7:V949)))</f>
        <v/>
      </c>
      <c r="Q949" s="191"/>
      <c r="R949" s="189"/>
      <c r="S949" s="53" t="str">
        <f t="shared" si="113"/>
        <v/>
      </c>
      <c r="T949" s="63" t="str">
        <f t="shared" si="114"/>
        <v/>
      </c>
      <c r="U949" s="64" t="str">
        <f>IF(OR(ISBLANK(Trades!R949), ISBLANK(Trades!H949), ISBLANK(Trades!I949)), "", IF(Trades!H949=Trades!I949, "N/A", (Trades!R949-Trades!H949)/(Trades!H949-Trades!I949)))</f>
        <v/>
      </c>
      <c r="V949" s="65" t="str">
        <f t="shared" si="115"/>
        <v/>
      </c>
      <c r="W949" s="66" t="str">
        <f t="shared" si="116"/>
        <v/>
      </c>
      <c r="X949" s="62" t="str">
        <f t="shared" si="117"/>
        <v/>
      </c>
      <c r="Y949" s="45"/>
      <c r="Z949" s="44"/>
      <c r="AA949" s="41"/>
      <c r="AB949" s="39"/>
      <c r="AC949" s="37" t="str">
        <f t="shared" si="118"/>
        <v/>
      </c>
    </row>
    <row r="950" spans="2:29" x14ac:dyDescent="0.25">
      <c r="B950" s="54">
        <v>944</v>
      </c>
      <c r="C950" s="168"/>
      <c r="D950" s="51"/>
      <c r="E950" s="29"/>
      <c r="F950" s="48"/>
      <c r="G950" s="29"/>
      <c r="H950" s="187"/>
      <c r="I950" s="187"/>
      <c r="J950" s="195"/>
      <c r="K950" s="86" t="str">
        <f t="shared" si="112"/>
        <v/>
      </c>
      <c r="L950" s="57" t="str">
        <f t="shared" si="119"/>
        <v/>
      </c>
      <c r="M950" s="186"/>
      <c r="N950" s="189"/>
      <c r="O950" s="190"/>
      <c r="P950" s="190" t="str">
        <f>IF(OR(ISBLANK(V950),COUNTBLANK(V950:$V$1048576)=ROWS(V950:$V$1048576)),"",$R$2*(1+SUM(V$7:V950)))</f>
        <v/>
      </c>
      <c r="Q950" s="191"/>
      <c r="R950" s="189"/>
      <c r="S950" s="53" t="str">
        <f t="shared" si="113"/>
        <v/>
      </c>
      <c r="T950" s="63" t="str">
        <f t="shared" si="114"/>
        <v/>
      </c>
      <c r="U950" s="64" t="str">
        <f>IF(OR(ISBLANK(Trades!R950), ISBLANK(Trades!H950), ISBLANK(Trades!I950)), "", IF(Trades!H950=Trades!I950, "N/A", (Trades!R950-Trades!H950)/(Trades!H950-Trades!I950)))</f>
        <v/>
      </c>
      <c r="V950" s="65" t="str">
        <f t="shared" si="115"/>
        <v/>
      </c>
      <c r="W950" s="66" t="str">
        <f t="shared" si="116"/>
        <v/>
      </c>
      <c r="X950" s="62" t="str">
        <f t="shared" si="117"/>
        <v/>
      </c>
      <c r="Y950" s="45"/>
      <c r="Z950" s="44"/>
      <c r="AA950" s="41"/>
      <c r="AB950" s="39"/>
      <c r="AC950" s="37" t="str">
        <f t="shared" si="118"/>
        <v/>
      </c>
    </row>
    <row r="951" spans="2:29" x14ac:dyDescent="0.25">
      <c r="B951" s="54">
        <v>945</v>
      </c>
      <c r="C951" s="168"/>
      <c r="D951" s="51"/>
      <c r="E951" s="29"/>
      <c r="F951" s="48"/>
      <c r="G951" s="29"/>
      <c r="H951" s="187"/>
      <c r="I951" s="187"/>
      <c r="J951" s="195"/>
      <c r="K951" s="86" t="str">
        <f t="shared" si="112"/>
        <v/>
      </c>
      <c r="L951" s="57" t="str">
        <f t="shared" si="119"/>
        <v/>
      </c>
      <c r="M951" s="186"/>
      <c r="N951" s="189"/>
      <c r="O951" s="190"/>
      <c r="P951" s="190" t="str">
        <f>IF(OR(ISBLANK(V951),COUNTBLANK(V951:$V$1048576)=ROWS(V951:$V$1048576)),"",$R$2*(1+SUM(V$7:V951)))</f>
        <v/>
      </c>
      <c r="Q951" s="191"/>
      <c r="R951" s="189"/>
      <c r="S951" s="53" t="str">
        <f t="shared" si="113"/>
        <v/>
      </c>
      <c r="T951" s="63" t="str">
        <f t="shared" si="114"/>
        <v/>
      </c>
      <c r="U951" s="64" t="str">
        <f>IF(OR(ISBLANK(Trades!R951), ISBLANK(Trades!H951), ISBLANK(Trades!I951)), "", IF(Trades!H951=Trades!I951, "N/A", (Trades!R951-Trades!H951)/(Trades!H951-Trades!I951)))</f>
        <v/>
      </c>
      <c r="V951" s="65" t="str">
        <f t="shared" si="115"/>
        <v/>
      </c>
      <c r="W951" s="66" t="str">
        <f t="shared" si="116"/>
        <v/>
      </c>
      <c r="X951" s="62" t="str">
        <f t="shared" si="117"/>
        <v/>
      </c>
      <c r="Y951" s="45"/>
      <c r="Z951" s="44"/>
      <c r="AA951" s="41"/>
      <c r="AB951" s="39"/>
      <c r="AC951" s="37" t="str">
        <f t="shared" si="118"/>
        <v/>
      </c>
    </row>
    <row r="952" spans="2:29" x14ac:dyDescent="0.25">
      <c r="B952" s="54">
        <v>946</v>
      </c>
      <c r="C952" s="168"/>
      <c r="D952" s="51"/>
      <c r="E952" s="29"/>
      <c r="F952" s="48"/>
      <c r="G952" s="29"/>
      <c r="H952" s="187"/>
      <c r="I952" s="187"/>
      <c r="J952" s="195"/>
      <c r="K952" s="86" t="str">
        <f t="shared" si="112"/>
        <v/>
      </c>
      <c r="L952" s="57" t="str">
        <f t="shared" si="119"/>
        <v/>
      </c>
      <c r="M952" s="186"/>
      <c r="N952" s="189"/>
      <c r="O952" s="190"/>
      <c r="P952" s="190" t="str">
        <f>IF(OR(ISBLANK(V952),COUNTBLANK(V952:$V$1048576)=ROWS(V952:$V$1048576)),"",$R$2*(1+SUM(V$7:V952)))</f>
        <v/>
      </c>
      <c r="Q952" s="191"/>
      <c r="R952" s="189"/>
      <c r="S952" s="53" t="str">
        <f t="shared" si="113"/>
        <v/>
      </c>
      <c r="T952" s="63" t="str">
        <f t="shared" si="114"/>
        <v/>
      </c>
      <c r="U952" s="64" t="str">
        <f>IF(OR(ISBLANK(Trades!R952), ISBLANK(Trades!H952), ISBLANK(Trades!I952)), "", IF(Trades!H952=Trades!I952, "N/A", (Trades!R952-Trades!H952)/(Trades!H952-Trades!I952)))</f>
        <v/>
      </c>
      <c r="V952" s="65" t="str">
        <f t="shared" si="115"/>
        <v/>
      </c>
      <c r="W952" s="66" t="str">
        <f t="shared" si="116"/>
        <v/>
      </c>
      <c r="X952" s="62" t="str">
        <f t="shared" si="117"/>
        <v/>
      </c>
      <c r="Y952" s="45"/>
      <c r="Z952" s="44"/>
      <c r="AA952" s="41"/>
      <c r="AB952" s="39"/>
      <c r="AC952" s="37" t="str">
        <f t="shared" si="118"/>
        <v/>
      </c>
    </row>
    <row r="953" spans="2:29" x14ac:dyDescent="0.25">
      <c r="B953" s="54">
        <v>947</v>
      </c>
      <c r="C953" s="168"/>
      <c r="D953" s="51"/>
      <c r="E953" s="29"/>
      <c r="F953" s="48"/>
      <c r="G953" s="29"/>
      <c r="H953" s="187"/>
      <c r="I953" s="187"/>
      <c r="J953" s="195"/>
      <c r="K953" s="86" t="str">
        <f t="shared" si="112"/>
        <v/>
      </c>
      <c r="L953" s="57" t="str">
        <f t="shared" si="119"/>
        <v/>
      </c>
      <c r="M953" s="186"/>
      <c r="N953" s="189"/>
      <c r="O953" s="190"/>
      <c r="P953" s="190" t="str">
        <f>IF(OR(ISBLANK(V953),COUNTBLANK(V953:$V$1048576)=ROWS(V953:$V$1048576)),"",$R$2*(1+SUM(V$7:V953)))</f>
        <v/>
      </c>
      <c r="Q953" s="191"/>
      <c r="R953" s="189"/>
      <c r="S953" s="53" t="str">
        <f t="shared" si="113"/>
        <v/>
      </c>
      <c r="T953" s="63" t="str">
        <f t="shared" si="114"/>
        <v/>
      </c>
      <c r="U953" s="64" t="str">
        <f>IF(OR(ISBLANK(Trades!R953), ISBLANK(Trades!H953), ISBLANK(Trades!I953)), "", IF(Trades!H953=Trades!I953, "N/A", (Trades!R953-Trades!H953)/(Trades!H953-Trades!I953)))</f>
        <v/>
      </c>
      <c r="V953" s="65" t="str">
        <f t="shared" si="115"/>
        <v/>
      </c>
      <c r="W953" s="66" t="str">
        <f t="shared" si="116"/>
        <v/>
      </c>
      <c r="X953" s="62" t="str">
        <f t="shared" si="117"/>
        <v/>
      </c>
      <c r="Y953" s="45"/>
      <c r="Z953" s="44"/>
      <c r="AA953" s="41"/>
      <c r="AB953" s="39"/>
      <c r="AC953" s="37" t="str">
        <f t="shared" si="118"/>
        <v/>
      </c>
    </row>
    <row r="954" spans="2:29" x14ac:dyDescent="0.25">
      <c r="B954" s="54">
        <v>948</v>
      </c>
      <c r="C954" s="168"/>
      <c r="D954" s="51"/>
      <c r="E954" s="29"/>
      <c r="F954" s="48"/>
      <c r="G954" s="29"/>
      <c r="H954" s="187"/>
      <c r="I954" s="187"/>
      <c r="J954" s="195"/>
      <c r="K954" s="86" t="str">
        <f t="shared" si="112"/>
        <v/>
      </c>
      <c r="L954" s="57" t="str">
        <f t="shared" si="119"/>
        <v/>
      </c>
      <c r="M954" s="186"/>
      <c r="N954" s="189"/>
      <c r="O954" s="190"/>
      <c r="P954" s="190" t="str">
        <f>IF(OR(ISBLANK(V954),COUNTBLANK(V954:$V$1048576)=ROWS(V954:$V$1048576)),"",$R$2*(1+SUM(V$7:V954)))</f>
        <v/>
      </c>
      <c r="Q954" s="191"/>
      <c r="R954" s="189"/>
      <c r="S954" s="53" t="str">
        <f t="shared" si="113"/>
        <v/>
      </c>
      <c r="T954" s="63" t="str">
        <f t="shared" si="114"/>
        <v/>
      </c>
      <c r="U954" s="64" t="str">
        <f>IF(OR(ISBLANK(Trades!R954), ISBLANK(Trades!H954), ISBLANK(Trades!I954)), "", IF(Trades!H954=Trades!I954, "N/A", (Trades!R954-Trades!H954)/(Trades!H954-Trades!I954)))</f>
        <v/>
      </c>
      <c r="V954" s="65" t="str">
        <f t="shared" si="115"/>
        <v/>
      </c>
      <c r="W954" s="66" t="str">
        <f t="shared" si="116"/>
        <v/>
      </c>
      <c r="X954" s="62" t="str">
        <f t="shared" si="117"/>
        <v/>
      </c>
      <c r="Y954" s="45"/>
      <c r="Z954" s="44"/>
      <c r="AA954" s="41"/>
      <c r="AB954" s="39"/>
      <c r="AC954" s="37" t="str">
        <f t="shared" si="118"/>
        <v/>
      </c>
    </row>
    <row r="955" spans="2:29" x14ac:dyDescent="0.25">
      <c r="B955" s="54">
        <v>949</v>
      </c>
      <c r="C955" s="168"/>
      <c r="D955" s="51"/>
      <c r="E955" s="29"/>
      <c r="F955" s="48"/>
      <c r="G955" s="29"/>
      <c r="H955" s="187"/>
      <c r="I955" s="187"/>
      <c r="J955" s="195"/>
      <c r="K955" s="86" t="str">
        <f t="shared" si="112"/>
        <v/>
      </c>
      <c r="L955" s="57" t="str">
        <f t="shared" si="119"/>
        <v/>
      </c>
      <c r="M955" s="186"/>
      <c r="N955" s="189"/>
      <c r="O955" s="190"/>
      <c r="P955" s="190" t="str">
        <f>IF(OR(ISBLANK(V955),COUNTBLANK(V955:$V$1048576)=ROWS(V955:$V$1048576)),"",$R$2*(1+SUM(V$7:V955)))</f>
        <v/>
      </c>
      <c r="Q955" s="191"/>
      <c r="R955" s="189"/>
      <c r="S955" s="53" t="str">
        <f t="shared" si="113"/>
        <v/>
      </c>
      <c r="T955" s="63" t="str">
        <f t="shared" si="114"/>
        <v/>
      </c>
      <c r="U955" s="64" t="str">
        <f>IF(OR(ISBLANK(Trades!R955), ISBLANK(Trades!H955), ISBLANK(Trades!I955)), "", IF(Trades!H955=Trades!I955, "N/A", (Trades!R955-Trades!H955)/(Trades!H955-Trades!I955)))</f>
        <v/>
      </c>
      <c r="V955" s="65" t="str">
        <f t="shared" si="115"/>
        <v/>
      </c>
      <c r="W955" s="66" t="str">
        <f t="shared" si="116"/>
        <v/>
      </c>
      <c r="X955" s="62" t="str">
        <f t="shared" si="117"/>
        <v/>
      </c>
      <c r="Y955" s="45"/>
      <c r="Z955" s="44"/>
      <c r="AA955" s="41"/>
      <c r="AB955" s="39"/>
      <c r="AC955" s="37" t="str">
        <f t="shared" si="118"/>
        <v/>
      </c>
    </row>
    <row r="956" spans="2:29" x14ac:dyDescent="0.25">
      <c r="B956" s="54">
        <v>950</v>
      </c>
      <c r="C956" s="168"/>
      <c r="D956" s="51"/>
      <c r="E956" s="29"/>
      <c r="F956" s="48"/>
      <c r="G956" s="29"/>
      <c r="H956" s="187"/>
      <c r="I956" s="187"/>
      <c r="J956" s="195"/>
      <c r="K956" s="86" t="str">
        <f t="shared" si="112"/>
        <v/>
      </c>
      <c r="L956" s="57" t="str">
        <f t="shared" si="119"/>
        <v/>
      </c>
      <c r="M956" s="186"/>
      <c r="N956" s="189"/>
      <c r="O956" s="190"/>
      <c r="P956" s="190" t="str">
        <f>IF(OR(ISBLANK(V956),COUNTBLANK(V956:$V$1048576)=ROWS(V956:$V$1048576)),"",$R$2*(1+SUM(V$7:V956)))</f>
        <v/>
      </c>
      <c r="Q956" s="191"/>
      <c r="R956" s="189"/>
      <c r="S956" s="53" t="str">
        <f t="shared" si="113"/>
        <v/>
      </c>
      <c r="T956" s="63" t="str">
        <f t="shared" si="114"/>
        <v/>
      </c>
      <c r="U956" s="64" t="str">
        <f>IF(OR(ISBLANK(Trades!R956), ISBLANK(Trades!H956), ISBLANK(Trades!I956)), "", IF(Trades!H956=Trades!I956, "N/A", (Trades!R956-Trades!H956)/(Trades!H956-Trades!I956)))</f>
        <v/>
      </c>
      <c r="V956" s="65" t="str">
        <f t="shared" si="115"/>
        <v/>
      </c>
      <c r="W956" s="66" t="str">
        <f t="shared" si="116"/>
        <v/>
      </c>
      <c r="X956" s="62" t="str">
        <f t="shared" si="117"/>
        <v/>
      </c>
      <c r="Y956" s="45"/>
      <c r="Z956" s="44"/>
      <c r="AA956" s="41"/>
      <c r="AB956" s="39"/>
      <c r="AC956" s="37" t="str">
        <f t="shared" si="118"/>
        <v/>
      </c>
    </row>
    <row r="957" spans="2:29" x14ac:dyDescent="0.25">
      <c r="B957" s="54">
        <v>951</v>
      </c>
      <c r="C957" s="168"/>
      <c r="D957" s="51"/>
      <c r="E957" s="29"/>
      <c r="F957" s="48"/>
      <c r="G957" s="29"/>
      <c r="H957" s="187"/>
      <c r="I957" s="187"/>
      <c r="J957" s="195"/>
      <c r="K957" s="86" t="str">
        <f t="shared" si="112"/>
        <v/>
      </c>
      <c r="L957" s="57" t="str">
        <f t="shared" si="119"/>
        <v/>
      </c>
      <c r="M957" s="186"/>
      <c r="N957" s="189"/>
      <c r="O957" s="190"/>
      <c r="P957" s="190" t="str">
        <f>IF(OR(ISBLANK(V957),COUNTBLANK(V957:$V$1048576)=ROWS(V957:$V$1048576)),"",$R$2*(1+SUM(V$7:V957)))</f>
        <v/>
      </c>
      <c r="Q957" s="191"/>
      <c r="R957" s="189"/>
      <c r="S957" s="53" t="str">
        <f t="shared" si="113"/>
        <v/>
      </c>
      <c r="T957" s="63" t="str">
        <f t="shared" si="114"/>
        <v/>
      </c>
      <c r="U957" s="64" t="str">
        <f>IF(OR(ISBLANK(Trades!R957), ISBLANK(Trades!H957), ISBLANK(Trades!I957)), "", IF(Trades!H957=Trades!I957, "N/A", (Trades!R957-Trades!H957)/(Trades!H957-Trades!I957)))</f>
        <v/>
      </c>
      <c r="V957" s="65" t="str">
        <f t="shared" si="115"/>
        <v/>
      </c>
      <c r="W957" s="66" t="str">
        <f t="shared" si="116"/>
        <v/>
      </c>
      <c r="X957" s="62" t="str">
        <f t="shared" si="117"/>
        <v/>
      </c>
      <c r="Y957" s="45"/>
      <c r="Z957" s="44"/>
      <c r="AA957" s="41"/>
      <c r="AB957" s="39"/>
      <c r="AC957" s="37" t="str">
        <f t="shared" si="118"/>
        <v/>
      </c>
    </row>
    <row r="958" spans="2:29" x14ac:dyDescent="0.25">
      <c r="B958" s="54">
        <v>952</v>
      </c>
      <c r="C958" s="168"/>
      <c r="D958" s="51"/>
      <c r="E958" s="29"/>
      <c r="F958" s="48"/>
      <c r="G958" s="29"/>
      <c r="H958" s="187"/>
      <c r="I958" s="187"/>
      <c r="J958" s="195"/>
      <c r="K958" s="86" t="str">
        <f t="shared" si="112"/>
        <v/>
      </c>
      <c r="L958" s="57" t="str">
        <f t="shared" si="119"/>
        <v/>
      </c>
      <c r="M958" s="186"/>
      <c r="N958" s="189"/>
      <c r="O958" s="190"/>
      <c r="P958" s="190" t="str">
        <f>IF(OR(ISBLANK(V958),COUNTBLANK(V958:$V$1048576)=ROWS(V958:$V$1048576)),"",$R$2*(1+SUM(V$7:V958)))</f>
        <v/>
      </c>
      <c r="Q958" s="191"/>
      <c r="R958" s="189"/>
      <c r="S958" s="53" t="str">
        <f t="shared" si="113"/>
        <v/>
      </c>
      <c r="T958" s="63" t="str">
        <f t="shared" si="114"/>
        <v/>
      </c>
      <c r="U958" s="64" t="str">
        <f>IF(OR(ISBLANK(Trades!R958), ISBLANK(Trades!H958), ISBLANK(Trades!I958)), "", IF(Trades!H958=Trades!I958, "N/A", (Trades!R958-Trades!H958)/(Trades!H958-Trades!I958)))</f>
        <v/>
      </c>
      <c r="V958" s="65" t="str">
        <f t="shared" si="115"/>
        <v/>
      </c>
      <c r="W958" s="66" t="str">
        <f t="shared" si="116"/>
        <v/>
      </c>
      <c r="X958" s="62" t="str">
        <f t="shared" si="117"/>
        <v/>
      </c>
      <c r="Y958" s="45"/>
      <c r="Z958" s="44"/>
      <c r="AA958" s="41"/>
      <c r="AB958" s="39"/>
      <c r="AC958" s="37" t="str">
        <f t="shared" si="118"/>
        <v/>
      </c>
    </row>
    <row r="959" spans="2:29" x14ac:dyDescent="0.25">
      <c r="B959" s="54">
        <v>953</v>
      </c>
      <c r="C959" s="168"/>
      <c r="D959" s="51"/>
      <c r="E959" s="29"/>
      <c r="F959" s="48"/>
      <c r="G959" s="29"/>
      <c r="H959" s="187"/>
      <c r="I959" s="187"/>
      <c r="J959" s="195"/>
      <c r="K959" s="86" t="str">
        <f t="shared" si="112"/>
        <v/>
      </c>
      <c r="L959" s="57" t="str">
        <f t="shared" si="119"/>
        <v/>
      </c>
      <c r="M959" s="186"/>
      <c r="N959" s="189"/>
      <c r="O959" s="190"/>
      <c r="P959" s="190" t="str">
        <f>IF(OR(ISBLANK(V959),COUNTBLANK(V959:$V$1048576)=ROWS(V959:$V$1048576)),"",$R$2*(1+SUM(V$7:V959)))</f>
        <v/>
      </c>
      <c r="Q959" s="191"/>
      <c r="R959" s="189"/>
      <c r="S959" s="53" t="str">
        <f t="shared" si="113"/>
        <v/>
      </c>
      <c r="T959" s="63" t="str">
        <f t="shared" si="114"/>
        <v/>
      </c>
      <c r="U959" s="64" t="str">
        <f>IF(OR(ISBLANK(Trades!R959), ISBLANK(Trades!H959), ISBLANK(Trades!I959)), "", IF(Trades!H959=Trades!I959, "N/A", (Trades!R959-Trades!H959)/(Trades!H959-Trades!I959)))</f>
        <v/>
      </c>
      <c r="V959" s="65" t="str">
        <f t="shared" si="115"/>
        <v/>
      </c>
      <c r="W959" s="66" t="str">
        <f t="shared" si="116"/>
        <v/>
      </c>
      <c r="X959" s="62" t="str">
        <f t="shared" si="117"/>
        <v/>
      </c>
      <c r="Y959" s="45"/>
      <c r="Z959" s="44"/>
      <c r="AA959" s="41"/>
      <c r="AB959" s="39"/>
      <c r="AC959" s="37" t="str">
        <f t="shared" si="118"/>
        <v/>
      </c>
    </row>
    <row r="960" spans="2:29" x14ac:dyDescent="0.25">
      <c r="B960" s="54">
        <v>954</v>
      </c>
      <c r="C960" s="168"/>
      <c r="D960" s="51"/>
      <c r="E960" s="29"/>
      <c r="F960" s="48"/>
      <c r="G960" s="29"/>
      <c r="H960" s="187"/>
      <c r="I960" s="187"/>
      <c r="J960" s="195"/>
      <c r="K960" s="86" t="str">
        <f t="shared" si="112"/>
        <v/>
      </c>
      <c r="L960" s="57" t="str">
        <f t="shared" si="119"/>
        <v/>
      </c>
      <c r="M960" s="186"/>
      <c r="N960" s="189"/>
      <c r="O960" s="190"/>
      <c r="P960" s="190" t="str">
        <f>IF(OR(ISBLANK(V960),COUNTBLANK(V960:$V$1048576)=ROWS(V960:$V$1048576)),"",$R$2*(1+SUM(V$7:V960)))</f>
        <v/>
      </c>
      <c r="Q960" s="191"/>
      <c r="R960" s="189"/>
      <c r="S960" s="53" t="str">
        <f t="shared" si="113"/>
        <v/>
      </c>
      <c r="T960" s="63" t="str">
        <f t="shared" si="114"/>
        <v/>
      </c>
      <c r="U960" s="64" t="str">
        <f>IF(OR(ISBLANK(Trades!R960), ISBLANK(Trades!H960), ISBLANK(Trades!I960)), "", IF(Trades!H960=Trades!I960, "N/A", (Trades!R960-Trades!H960)/(Trades!H960-Trades!I960)))</f>
        <v/>
      </c>
      <c r="V960" s="65" t="str">
        <f t="shared" si="115"/>
        <v/>
      </c>
      <c r="W960" s="66" t="str">
        <f t="shared" si="116"/>
        <v/>
      </c>
      <c r="X960" s="62" t="str">
        <f t="shared" si="117"/>
        <v/>
      </c>
      <c r="Y960" s="45"/>
      <c r="Z960" s="44"/>
      <c r="AA960" s="41"/>
      <c r="AB960" s="39"/>
      <c r="AC960" s="37" t="str">
        <f t="shared" si="118"/>
        <v/>
      </c>
    </row>
    <row r="961" spans="2:29" x14ac:dyDescent="0.25">
      <c r="B961" s="54">
        <v>955</v>
      </c>
      <c r="C961" s="168"/>
      <c r="D961" s="51"/>
      <c r="E961" s="29"/>
      <c r="F961" s="48"/>
      <c r="G961" s="29"/>
      <c r="H961" s="187"/>
      <c r="I961" s="187"/>
      <c r="J961" s="195"/>
      <c r="K961" s="86" t="str">
        <f t="shared" si="112"/>
        <v/>
      </c>
      <c r="L961" s="57" t="str">
        <f t="shared" si="119"/>
        <v/>
      </c>
      <c r="M961" s="186"/>
      <c r="N961" s="189"/>
      <c r="O961" s="190"/>
      <c r="P961" s="190" t="str">
        <f>IF(OR(ISBLANK(V961),COUNTBLANK(V961:$V$1048576)=ROWS(V961:$V$1048576)),"",$R$2*(1+SUM(V$7:V961)))</f>
        <v/>
      </c>
      <c r="Q961" s="191"/>
      <c r="R961" s="189"/>
      <c r="S961" s="53" t="str">
        <f t="shared" si="113"/>
        <v/>
      </c>
      <c r="T961" s="63" t="str">
        <f t="shared" si="114"/>
        <v/>
      </c>
      <c r="U961" s="64" t="str">
        <f>IF(OR(ISBLANK(Trades!R961), ISBLANK(Trades!H961), ISBLANK(Trades!I961)), "", IF(Trades!H961=Trades!I961, "N/A", (Trades!R961-Trades!H961)/(Trades!H961-Trades!I961)))</f>
        <v/>
      </c>
      <c r="V961" s="65" t="str">
        <f t="shared" si="115"/>
        <v/>
      </c>
      <c r="W961" s="66" t="str">
        <f t="shared" si="116"/>
        <v/>
      </c>
      <c r="X961" s="62" t="str">
        <f t="shared" si="117"/>
        <v/>
      </c>
      <c r="Y961" s="45"/>
      <c r="Z961" s="44"/>
      <c r="AA961" s="41"/>
      <c r="AB961" s="39"/>
      <c r="AC961" s="37" t="str">
        <f t="shared" si="118"/>
        <v/>
      </c>
    </row>
    <row r="962" spans="2:29" x14ac:dyDescent="0.25">
      <c r="B962" s="54">
        <v>956</v>
      </c>
      <c r="C962" s="168"/>
      <c r="D962" s="51"/>
      <c r="E962" s="29"/>
      <c r="F962" s="48"/>
      <c r="G962" s="29"/>
      <c r="H962" s="187"/>
      <c r="I962" s="187"/>
      <c r="J962" s="195"/>
      <c r="K962" s="86" t="str">
        <f t="shared" si="112"/>
        <v/>
      </c>
      <c r="L962" s="57" t="str">
        <f t="shared" si="119"/>
        <v/>
      </c>
      <c r="M962" s="186"/>
      <c r="N962" s="189"/>
      <c r="O962" s="190"/>
      <c r="P962" s="190" t="str">
        <f>IF(OR(ISBLANK(V962),COUNTBLANK(V962:$V$1048576)=ROWS(V962:$V$1048576)),"",$R$2*(1+SUM(V$7:V962)))</f>
        <v/>
      </c>
      <c r="Q962" s="191"/>
      <c r="R962" s="189"/>
      <c r="S962" s="53" t="str">
        <f t="shared" si="113"/>
        <v/>
      </c>
      <c r="T962" s="63" t="str">
        <f t="shared" si="114"/>
        <v/>
      </c>
      <c r="U962" s="64" t="str">
        <f>IF(OR(ISBLANK(Trades!R962), ISBLANK(Trades!H962), ISBLANK(Trades!I962)), "", IF(Trades!H962=Trades!I962, "N/A", (Trades!R962-Trades!H962)/(Trades!H962-Trades!I962)))</f>
        <v/>
      </c>
      <c r="V962" s="65" t="str">
        <f t="shared" si="115"/>
        <v/>
      </c>
      <c r="W962" s="66" t="str">
        <f t="shared" si="116"/>
        <v/>
      </c>
      <c r="X962" s="62" t="str">
        <f t="shared" si="117"/>
        <v/>
      </c>
      <c r="Y962" s="45"/>
      <c r="Z962" s="44"/>
      <c r="AA962" s="41"/>
      <c r="AB962" s="39"/>
      <c r="AC962" s="37" t="str">
        <f t="shared" si="118"/>
        <v/>
      </c>
    </row>
    <row r="963" spans="2:29" x14ac:dyDescent="0.25">
      <c r="B963" s="54">
        <v>957</v>
      </c>
      <c r="C963" s="168"/>
      <c r="D963" s="51"/>
      <c r="E963" s="29"/>
      <c r="F963" s="48"/>
      <c r="G963" s="29"/>
      <c r="H963" s="187"/>
      <c r="I963" s="187"/>
      <c r="J963" s="195"/>
      <c r="K963" s="86" t="str">
        <f t="shared" si="112"/>
        <v/>
      </c>
      <c r="L963" s="57" t="str">
        <f t="shared" si="119"/>
        <v/>
      </c>
      <c r="M963" s="186"/>
      <c r="N963" s="189"/>
      <c r="O963" s="190"/>
      <c r="P963" s="190" t="str">
        <f>IF(OR(ISBLANK(V963),COUNTBLANK(V963:$V$1048576)=ROWS(V963:$V$1048576)),"",$R$2*(1+SUM(V$7:V963)))</f>
        <v/>
      </c>
      <c r="Q963" s="191"/>
      <c r="R963" s="189"/>
      <c r="S963" s="53" t="str">
        <f t="shared" si="113"/>
        <v/>
      </c>
      <c r="T963" s="63" t="str">
        <f t="shared" si="114"/>
        <v/>
      </c>
      <c r="U963" s="64" t="str">
        <f>IF(OR(ISBLANK(Trades!R963), ISBLANK(Trades!H963), ISBLANK(Trades!I963)), "", IF(Trades!H963=Trades!I963, "N/A", (Trades!R963-Trades!H963)/(Trades!H963-Trades!I963)))</f>
        <v/>
      </c>
      <c r="V963" s="65" t="str">
        <f t="shared" si="115"/>
        <v/>
      </c>
      <c r="W963" s="66" t="str">
        <f t="shared" si="116"/>
        <v/>
      </c>
      <c r="X963" s="62" t="str">
        <f t="shared" si="117"/>
        <v/>
      </c>
      <c r="Y963" s="45"/>
      <c r="Z963" s="44"/>
      <c r="AA963" s="41"/>
      <c r="AB963" s="39"/>
      <c r="AC963" s="37" t="str">
        <f t="shared" si="118"/>
        <v/>
      </c>
    </row>
    <row r="964" spans="2:29" x14ac:dyDescent="0.25">
      <c r="B964" s="54">
        <v>958</v>
      </c>
      <c r="C964" s="168"/>
      <c r="D964" s="51"/>
      <c r="E964" s="29"/>
      <c r="F964" s="48"/>
      <c r="G964" s="29"/>
      <c r="H964" s="187"/>
      <c r="I964" s="187"/>
      <c r="J964" s="195"/>
      <c r="K964" s="86" t="str">
        <f t="shared" si="112"/>
        <v/>
      </c>
      <c r="L964" s="57" t="str">
        <f t="shared" si="119"/>
        <v/>
      </c>
      <c r="M964" s="186"/>
      <c r="N964" s="189"/>
      <c r="O964" s="190"/>
      <c r="P964" s="190" t="str">
        <f>IF(OR(ISBLANK(V964),COUNTBLANK(V964:$V$1048576)=ROWS(V964:$V$1048576)),"",$R$2*(1+SUM(V$7:V964)))</f>
        <v/>
      </c>
      <c r="Q964" s="191"/>
      <c r="R964" s="189"/>
      <c r="S964" s="53" t="str">
        <f t="shared" si="113"/>
        <v/>
      </c>
      <c r="T964" s="63" t="str">
        <f t="shared" si="114"/>
        <v/>
      </c>
      <c r="U964" s="64" t="str">
        <f>IF(OR(ISBLANK(Trades!R964), ISBLANK(Trades!H964), ISBLANK(Trades!I964)), "", IF(Trades!H964=Trades!I964, "N/A", (Trades!R964-Trades!H964)/(Trades!H964-Trades!I964)))</f>
        <v/>
      </c>
      <c r="V964" s="65" t="str">
        <f t="shared" si="115"/>
        <v/>
      </c>
      <c r="W964" s="66" t="str">
        <f t="shared" si="116"/>
        <v/>
      </c>
      <c r="X964" s="62" t="str">
        <f t="shared" si="117"/>
        <v/>
      </c>
      <c r="Y964" s="45"/>
      <c r="Z964" s="44"/>
      <c r="AA964" s="41"/>
      <c r="AB964" s="39"/>
      <c r="AC964" s="37" t="str">
        <f t="shared" si="118"/>
        <v/>
      </c>
    </row>
    <row r="965" spans="2:29" x14ac:dyDescent="0.25">
      <c r="B965" s="54">
        <v>959</v>
      </c>
      <c r="C965" s="168"/>
      <c r="D965" s="51"/>
      <c r="E965" s="29"/>
      <c r="F965" s="48"/>
      <c r="G965" s="29"/>
      <c r="H965" s="187"/>
      <c r="I965" s="187"/>
      <c r="J965" s="195"/>
      <c r="K965" s="86" t="str">
        <f t="shared" si="112"/>
        <v/>
      </c>
      <c r="L965" s="57" t="str">
        <f t="shared" si="119"/>
        <v/>
      </c>
      <c r="M965" s="186"/>
      <c r="N965" s="189"/>
      <c r="O965" s="190"/>
      <c r="P965" s="190" t="str">
        <f>IF(OR(ISBLANK(V965),COUNTBLANK(V965:$V$1048576)=ROWS(V965:$V$1048576)),"",$R$2*(1+SUM(V$7:V965)))</f>
        <v/>
      </c>
      <c r="Q965" s="191"/>
      <c r="R965" s="189"/>
      <c r="S965" s="53" t="str">
        <f t="shared" si="113"/>
        <v/>
      </c>
      <c r="T965" s="63" t="str">
        <f t="shared" si="114"/>
        <v/>
      </c>
      <c r="U965" s="64" t="str">
        <f>IF(OR(ISBLANK(Trades!R965), ISBLANK(Trades!H965), ISBLANK(Trades!I965)), "", IF(Trades!H965=Trades!I965, "N/A", (Trades!R965-Trades!H965)/(Trades!H965-Trades!I965)))</f>
        <v/>
      </c>
      <c r="V965" s="65" t="str">
        <f t="shared" si="115"/>
        <v/>
      </c>
      <c r="W965" s="66" t="str">
        <f t="shared" si="116"/>
        <v/>
      </c>
      <c r="X965" s="62" t="str">
        <f t="shared" si="117"/>
        <v/>
      </c>
      <c r="Y965" s="45"/>
      <c r="Z965" s="44"/>
      <c r="AA965" s="41"/>
      <c r="AB965" s="39"/>
      <c r="AC965" s="37" t="str">
        <f t="shared" si="118"/>
        <v/>
      </c>
    </row>
    <row r="966" spans="2:29" x14ac:dyDescent="0.25">
      <c r="B966" s="54">
        <v>960</v>
      </c>
      <c r="C966" s="168"/>
      <c r="D966" s="51"/>
      <c r="E966" s="29"/>
      <c r="F966" s="48"/>
      <c r="G966" s="29"/>
      <c r="H966" s="187"/>
      <c r="I966" s="187"/>
      <c r="J966" s="195"/>
      <c r="K966" s="86" t="str">
        <f t="shared" si="112"/>
        <v/>
      </c>
      <c r="L966" s="57" t="str">
        <f t="shared" si="119"/>
        <v/>
      </c>
      <c r="M966" s="186"/>
      <c r="N966" s="189"/>
      <c r="O966" s="190"/>
      <c r="P966" s="190" t="str">
        <f>IF(OR(ISBLANK(V966),COUNTBLANK(V966:$V$1048576)=ROWS(V966:$V$1048576)),"",$R$2*(1+SUM(V$7:V966)))</f>
        <v/>
      </c>
      <c r="Q966" s="191"/>
      <c r="R966" s="189"/>
      <c r="S966" s="53" t="str">
        <f t="shared" si="113"/>
        <v/>
      </c>
      <c r="T966" s="63" t="str">
        <f t="shared" si="114"/>
        <v/>
      </c>
      <c r="U966" s="64" t="str">
        <f>IF(OR(ISBLANK(Trades!R966), ISBLANK(Trades!H966), ISBLANK(Trades!I966)), "", IF(Trades!H966=Trades!I966, "N/A", (Trades!R966-Trades!H966)/(Trades!H966-Trades!I966)))</f>
        <v/>
      </c>
      <c r="V966" s="65" t="str">
        <f t="shared" si="115"/>
        <v/>
      </c>
      <c r="W966" s="66" t="str">
        <f t="shared" si="116"/>
        <v/>
      </c>
      <c r="X966" s="62" t="str">
        <f t="shared" si="117"/>
        <v/>
      </c>
      <c r="Y966" s="45"/>
      <c r="Z966" s="44"/>
      <c r="AA966" s="41"/>
      <c r="AB966" s="39"/>
      <c r="AC966" s="37" t="str">
        <f t="shared" si="118"/>
        <v/>
      </c>
    </row>
    <row r="967" spans="2:29" x14ac:dyDescent="0.25">
      <c r="B967" s="54">
        <v>961</v>
      </c>
      <c r="C967" s="168"/>
      <c r="D967" s="51"/>
      <c r="E967" s="29"/>
      <c r="F967" s="48"/>
      <c r="G967" s="29"/>
      <c r="H967" s="187"/>
      <c r="I967" s="187"/>
      <c r="J967" s="195"/>
      <c r="K967" s="86" t="str">
        <f t="shared" ref="K967:K1006" si="120">IF(OR(ISBLANK(H967),ISBLANK(I967)),"",IF(H967 &lt; I967, "SHORT", IF(H967 &gt; I967, "LONG", "")))</f>
        <v/>
      </c>
      <c r="L967" s="57" t="str">
        <f t="shared" si="119"/>
        <v/>
      </c>
      <c r="M967" s="186"/>
      <c r="N967" s="189"/>
      <c r="O967" s="190"/>
      <c r="P967" s="190" t="str">
        <f>IF(OR(ISBLANK(V967),COUNTBLANK(V967:$V$1048576)=ROWS(V967:$V$1048576)),"",$R$2*(1+SUM(V$7:V967)))</f>
        <v/>
      </c>
      <c r="Q967" s="191"/>
      <c r="R967" s="189"/>
      <c r="S967" s="53" t="str">
        <f t="shared" ref="S967:S1006" si="121">IF(COUNTIFS($C$7:$C$1000, "&lt;="&amp;C967, $X$7:$X$1000, "Win") = 0, "", IF(COUNTIFS($C$7:$C$1000, "&lt;="&amp;C967, $X$7:$X$1000, "&lt;&gt;"&amp;"") = 0, "", COUNTIFS($C$7:$C$1000, "&lt;="&amp;C967, $X$7:$X$1000, "Win")/COUNTIFS($C$7:$C$1000, "&lt;="&amp;C967, $X$7:$X$1000, "&lt;&gt;"&amp;"")))</f>
        <v/>
      </c>
      <c r="T967" s="63" t="str">
        <f t="shared" ref="T967:T1006" si="122">IF(ISBLANK(R967),IF(ISBLANK(H967),"","Open"),"Closed")</f>
        <v/>
      </c>
      <c r="U967" s="64" t="str">
        <f>IF(OR(ISBLANK(Trades!R967), ISBLANK(Trades!H967), ISBLANK(Trades!I967)), "", IF(Trades!H967=Trades!I967, "N/A", (Trades!R967-Trades!H967)/(Trades!H967-Trades!I967)))</f>
        <v/>
      </c>
      <c r="V967" s="65" t="str">
        <f t="shared" ref="V967:V1030" si="123">IF(U967="","",U967*F967)</f>
        <v/>
      </c>
      <c r="W967" s="66" t="str">
        <f t="shared" ref="W967:W1006" si="124">IF(ISBLANK(R967),"",IF(H967&gt;I967,IF(I967&gt;=R967,"SL Hit",IF(O967&lt;&gt;"","PT3 Hit",IF(N967&lt;&gt;"","PT2 Hit",IF(M967&lt;&gt;"","PT1 Hit","")))),IF(I967&lt;=R967,"SL Hit",IF(O967&lt;&gt;"","PT3 Hit",IF(N967&lt;&gt;"","PT2 Hit",IF(M967&lt;&gt;"","PT1 Hit",""))))))</f>
        <v/>
      </c>
      <c r="X967" s="62" t="str">
        <f t="shared" ref="X967:X1006" si="125">IF(ISBLANK(R967),"",IF(H967&gt;I967, IF(R967&gt;=H967, "Win", "Loss"), IF(R967&lt;=H967, "Win", "Loss")))</f>
        <v/>
      </c>
      <c r="Y967" s="45"/>
      <c r="Z967" s="44"/>
      <c r="AA967" s="41"/>
      <c r="AB967" s="39"/>
      <c r="AC967" s="37" t="str">
        <f t="shared" ref="AC967:AC1006" si="126">IFERROR(COUNTIFS($C$7:$C$1000,"&gt;="&amp;DATE(YEAR(C967),MONTH(C967),1),$C$7:$C$1000,"&lt;="&amp;EOMONTH(C967,0),$X$7:$X$1000,"Win")/COUNTIFS($C$7:$C$1000,"&gt;="&amp;DATE(YEAR(C967),MONTH(C967),1),$C$7:$C$1000,"&lt;="&amp;EOMONTH(C967,0)),"")</f>
        <v/>
      </c>
    </row>
    <row r="968" spans="2:29" x14ac:dyDescent="0.25">
      <c r="B968" s="54">
        <v>962</v>
      </c>
      <c r="C968" s="168"/>
      <c r="D968" s="51"/>
      <c r="E968" s="29"/>
      <c r="F968" s="48"/>
      <c r="G968" s="29"/>
      <c r="H968" s="187"/>
      <c r="I968" s="187"/>
      <c r="J968" s="195"/>
      <c r="K968" s="86" t="str">
        <f t="shared" si="120"/>
        <v/>
      </c>
      <c r="L968" s="57" t="str">
        <f t="shared" si="119"/>
        <v/>
      </c>
      <c r="M968" s="186"/>
      <c r="N968" s="189"/>
      <c r="O968" s="190"/>
      <c r="P968" s="190" t="str">
        <f>IF(OR(ISBLANK(V968),COUNTBLANK(V968:$V$1048576)=ROWS(V968:$V$1048576)),"",$R$2*(1+SUM(V$7:V968)))</f>
        <v/>
      </c>
      <c r="Q968" s="191"/>
      <c r="R968" s="189"/>
      <c r="S968" s="53" t="str">
        <f t="shared" si="121"/>
        <v/>
      </c>
      <c r="T968" s="63" t="str">
        <f t="shared" si="122"/>
        <v/>
      </c>
      <c r="U968" s="64" t="str">
        <f>IF(OR(ISBLANK(Trades!R968), ISBLANK(Trades!H968), ISBLANK(Trades!I968)), "", IF(Trades!H968=Trades!I968, "N/A", (Trades!R968-Trades!H968)/(Trades!H968-Trades!I968)))</f>
        <v/>
      </c>
      <c r="V968" s="65" t="str">
        <f t="shared" si="123"/>
        <v/>
      </c>
      <c r="W968" s="66" t="str">
        <f t="shared" si="124"/>
        <v/>
      </c>
      <c r="X968" s="62" t="str">
        <f t="shared" si="125"/>
        <v/>
      </c>
      <c r="Y968" s="45"/>
      <c r="Z968" s="44"/>
      <c r="AA968" s="41"/>
      <c r="AB968" s="39"/>
      <c r="AC968" s="37" t="str">
        <f t="shared" si="126"/>
        <v/>
      </c>
    </row>
    <row r="969" spans="2:29" x14ac:dyDescent="0.25">
      <c r="B969" s="54">
        <v>963</v>
      </c>
      <c r="C969" s="168"/>
      <c r="D969" s="51"/>
      <c r="E969" s="29"/>
      <c r="F969" s="48"/>
      <c r="G969" s="29"/>
      <c r="H969" s="187"/>
      <c r="I969" s="187"/>
      <c r="J969" s="195"/>
      <c r="K969" s="86" t="str">
        <f t="shared" si="120"/>
        <v/>
      </c>
      <c r="L969" s="57" t="str">
        <f t="shared" si="119"/>
        <v/>
      </c>
      <c r="M969" s="186"/>
      <c r="N969" s="189"/>
      <c r="O969" s="190"/>
      <c r="P969" s="190" t="str">
        <f>IF(OR(ISBLANK(V969),COUNTBLANK(V969:$V$1048576)=ROWS(V969:$V$1048576)),"",$R$2*(1+SUM(V$7:V969)))</f>
        <v/>
      </c>
      <c r="Q969" s="191"/>
      <c r="R969" s="189"/>
      <c r="S969" s="53" t="str">
        <f t="shared" si="121"/>
        <v/>
      </c>
      <c r="T969" s="63" t="str">
        <f t="shared" si="122"/>
        <v/>
      </c>
      <c r="U969" s="64" t="str">
        <f>IF(OR(ISBLANK(Trades!R969), ISBLANK(Trades!H969), ISBLANK(Trades!I969)), "", IF(Trades!H969=Trades!I969, "N/A", (Trades!R969-Trades!H969)/(Trades!H969-Trades!I969)))</f>
        <v/>
      </c>
      <c r="V969" s="65" t="str">
        <f t="shared" si="123"/>
        <v/>
      </c>
      <c r="W969" s="66" t="str">
        <f t="shared" si="124"/>
        <v/>
      </c>
      <c r="X969" s="62" t="str">
        <f t="shared" si="125"/>
        <v/>
      </c>
      <c r="Y969" s="45"/>
      <c r="Z969" s="44"/>
      <c r="AA969" s="41"/>
      <c r="AB969" s="39"/>
      <c r="AC969" s="37" t="str">
        <f t="shared" si="126"/>
        <v/>
      </c>
    </row>
    <row r="970" spans="2:29" x14ac:dyDescent="0.25">
      <c r="B970" s="54">
        <v>964</v>
      </c>
      <c r="C970" s="168"/>
      <c r="D970" s="51"/>
      <c r="E970" s="29"/>
      <c r="F970" s="48"/>
      <c r="G970" s="29"/>
      <c r="H970" s="187"/>
      <c r="I970" s="187"/>
      <c r="J970" s="195"/>
      <c r="K970" s="86" t="str">
        <f t="shared" si="120"/>
        <v/>
      </c>
      <c r="L970" s="57" t="str">
        <f t="shared" si="119"/>
        <v/>
      </c>
      <c r="M970" s="186"/>
      <c r="N970" s="189"/>
      <c r="O970" s="190"/>
      <c r="P970" s="190" t="str">
        <f>IF(OR(ISBLANK(V970),COUNTBLANK(V970:$V$1048576)=ROWS(V970:$V$1048576)),"",$R$2*(1+SUM(V$7:V970)))</f>
        <v/>
      </c>
      <c r="Q970" s="191"/>
      <c r="R970" s="189"/>
      <c r="S970" s="53" t="str">
        <f t="shared" si="121"/>
        <v/>
      </c>
      <c r="T970" s="63" t="str">
        <f t="shared" si="122"/>
        <v/>
      </c>
      <c r="U970" s="64" t="str">
        <f>IF(OR(ISBLANK(Trades!R970), ISBLANK(Trades!H970), ISBLANK(Trades!I970)), "", IF(Trades!H970=Trades!I970, "N/A", (Trades!R970-Trades!H970)/(Trades!H970-Trades!I970)))</f>
        <v/>
      </c>
      <c r="V970" s="65" t="str">
        <f t="shared" si="123"/>
        <v/>
      </c>
      <c r="W970" s="66" t="str">
        <f t="shared" si="124"/>
        <v/>
      </c>
      <c r="X970" s="62" t="str">
        <f t="shared" si="125"/>
        <v/>
      </c>
      <c r="Y970" s="45"/>
      <c r="Z970" s="44"/>
      <c r="AA970" s="41"/>
      <c r="AB970" s="39"/>
      <c r="AC970" s="37" t="str">
        <f t="shared" si="126"/>
        <v/>
      </c>
    </row>
    <row r="971" spans="2:29" x14ac:dyDescent="0.25">
      <c r="B971" s="54">
        <v>965</v>
      </c>
      <c r="C971" s="168"/>
      <c r="D971" s="51"/>
      <c r="E971" s="29"/>
      <c r="F971" s="48"/>
      <c r="G971" s="29"/>
      <c r="H971" s="187"/>
      <c r="I971" s="187"/>
      <c r="J971" s="195"/>
      <c r="K971" s="86" t="str">
        <f t="shared" si="120"/>
        <v/>
      </c>
      <c r="L971" s="57" t="str">
        <f t="shared" si="119"/>
        <v/>
      </c>
      <c r="M971" s="186"/>
      <c r="N971" s="189"/>
      <c r="O971" s="190"/>
      <c r="P971" s="190" t="str">
        <f>IF(OR(ISBLANK(V971),COUNTBLANK(V971:$V$1048576)=ROWS(V971:$V$1048576)),"",$R$2*(1+SUM(V$7:V971)))</f>
        <v/>
      </c>
      <c r="Q971" s="191"/>
      <c r="R971" s="189"/>
      <c r="S971" s="53" t="str">
        <f t="shared" si="121"/>
        <v/>
      </c>
      <c r="T971" s="63" t="str">
        <f t="shared" si="122"/>
        <v/>
      </c>
      <c r="U971" s="64" t="str">
        <f>IF(OR(ISBLANK(Trades!R971), ISBLANK(Trades!H971), ISBLANK(Trades!I971)), "", IF(Trades!H971=Trades!I971, "N/A", (Trades!R971-Trades!H971)/(Trades!H971-Trades!I971)))</f>
        <v/>
      </c>
      <c r="V971" s="65" t="str">
        <f t="shared" si="123"/>
        <v/>
      </c>
      <c r="W971" s="66" t="str">
        <f t="shared" si="124"/>
        <v/>
      </c>
      <c r="X971" s="62" t="str">
        <f t="shared" si="125"/>
        <v/>
      </c>
      <c r="Y971" s="45"/>
      <c r="Z971" s="44"/>
      <c r="AA971" s="41"/>
      <c r="AB971" s="39"/>
      <c r="AC971" s="37" t="str">
        <f t="shared" si="126"/>
        <v/>
      </c>
    </row>
    <row r="972" spans="2:29" x14ac:dyDescent="0.25">
      <c r="B972" s="54">
        <v>966</v>
      </c>
      <c r="C972" s="168"/>
      <c r="D972" s="51"/>
      <c r="E972" s="29"/>
      <c r="F972" s="48"/>
      <c r="G972" s="29"/>
      <c r="H972" s="187"/>
      <c r="I972" s="187"/>
      <c r="J972" s="195"/>
      <c r="K972" s="86" t="str">
        <f t="shared" si="120"/>
        <v/>
      </c>
      <c r="L972" s="57" t="str">
        <f t="shared" ref="L972:L1006" si="127">IF(OR(ISBLANK(J972),ISBLANK(H972),ISBLANK(I972)),"",ABS(J972-H972)/ABS(H972-I972))</f>
        <v/>
      </c>
      <c r="M972" s="186"/>
      <c r="N972" s="189"/>
      <c r="O972" s="190"/>
      <c r="P972" s="190" t="str">
        <f>IF(OR(ISBLANK(V972),COUNTBLANK(V972:$V$1048576)=ROWS(V972:$V$1048576)),"",$R$2*(1+SUM(V$7:V972)))</f>
        <v/>
      </c>
      <c r="Q972" s="191"/>
      <c r="R972" s="189"/>
      <c r="S972" s="53" t="str">
        <f t="shared" si="121"/>
        <v/>
      </c>
      <c r="T972" s="63" t="str">
        <f t="shared" si="122"/>
        <v/>
      </c>
      <c r="U972" s="64" t="str">
        <f>IF(OR(ISBLANK(Trades!R972), ISBLANK(Trades!H972), ISBLANK(Trades!I972)), "", IF(Trades!H972=Trades!I972, "N/A", (Trades!R972-Trades!H972)/(Trades!H972-Trades!I972)))</f>
        <v/>
      </c>
      <c r="V972" s="65" t="str">
        <f t="shared" si="123"/>
        <v/>
      </c>
      <c r="W972" s="66" t="str">
        <f t="shared" si="124"/>
        <v/>
      </c>
      <c r="X972" s="62" t="str">
        <f t="shared" si="125"/>
        <v/>
      </c>
      <c r="Y972" s="45"/>
      <c r="Z972" s="44"/>
      <c r="AA972" s="41"/>
      <c r="AB972" s="39"/>
      <c r="AC972" s="37" t="str">
        <f t="shared" si="126"/>
        <v/>
      </c>
    </row>
    <row r="973" spans="2:29" x14ac:dyDescent="0.25">
      <c r="B973" s="54">
        <v>967</v>
      </c>
      <c r="C973" s="168"/>
      <c r="D973" s="51"/>
      <c r="E973" s="29"/>
      <c r="F973" s="48"/>
      <c r="G973" s="29"/>
      <c r="H973" s="187"/>
      <c r="I973" s="187"/>
      <c r="J973" s="195"/>
      <c r="K973" s="86" t="str">
        <f t="shared" si="120"/>
        <v/>
      </c>
      <c r="L973" s="57" t="str">
        <f t="shared" si="127"/>
        <v/>
      </c>
      <c r="M973" s="186"/>
      <c r="N973" s="189"/>
      <c r="O973" s="190"/>
      <c r="P973" s="190" t="str">
        <f>IF(OR(ISBLANK(V973),COUNTBLANK(V973:$V$1048576)=ROWS(V973:$V$1048576)),"",$R$2*(1+SUM(V$7:V973)))</f>
        <v/>
      </c>
      <c r="Q973" s="191"/>
      <c r="R973" s="189"/>
      <c r="S973" s="53" t="str">
        <f t="shared" si="121"/>
        <v/>
      </c>
      <c r="T973" s="63" t="str">
        <f t="shared" si="122"/>
        <v/>
      </c>
      <c r="U973" s="64" t="str">
        <f>IF(OR(ISBLANK(Trades!R973), ISBLANK(Trades!H973), ISBLANK(Trades!I973)), "", IF(Trades!H973=Trades!I973, "N/A", (Trades!R973-Trades!H973)/(Trades!H973-Trades!I973)))</f>
        <v/>
      </c>
      <c r="V973" s="65" t="str">
        <f t="shared" si="123"/>
        <v/>
      </c>
      <c r="W973" s="66" t="str">
        <f t="shared" si="124"/>
        <v/>
      </c>
      <c r="X973" s="62" t="str">
        <f t="shared" si="125"/>
        <v/>
      </c>
      <c r="Y973" s="45"/>
      <c r="Z973" s="44"/>
      <c r="AA973" s="41"/>
      <c r="AB973" s="39"/>
      <c r="AC973" s="37" t="str">
        <f t="shared" si="126"/>
        <v/>
      </c>
    </row>
    <row r="974" spans="2:29" x14ac:dyDescent="0.25">
      <c r="B974" s="54">
        <v>968</v>
      </c>
      <c r="C974" s="168"/>
      <c r="D974" s="51"/>
      <c r="E974" s="29"/>
      <c r="F974" s="48"/>
      <c r="G974" s="29"/>
      <c r="H974" s="187"/>
      <c r="I974" s="187"/>
      <c r="J974" s="195"/>
      <c r="K974" s="86" t="str">
        <f t="shared" si="120"/>
        <v/>
      </c>
      <c r="L974" s="57" t="str">
        <f t="shared" si="127"/>
        <v/>
      </c>
      <c r="M974" s="186"/>
      <c r="N974" s="189"/>
      <c r="O974" s="190"/>
      <c r="P974" s="190" t="str">
        <f>IF(OR(ISBLANK(V974),COUNTBLANK(V974:$V$1048576)=ROWS(V974:$V$1048576)),"",$R$2*(1+SUM(V$7:V974)))</f>
        <v/>
      </c>
      <c r="Q974" s="191"/>
      <c r="R974" s="189"/>
      <c r="S974" s="53" t="str">
        <f t="shared" si="121"/>
        <v/>
      </c>
      <c r="T974" s="63" t="str">
        <f t="shared" si="122"/>
        <v/>
      </c>
      <c r="U974" s="64" t="str">
        <f>IF(OR(ISBLANK(Trades!R974), ISBLANK(Trades!H974), ISBLANK(Trades!I974)), "", IF(Trades!H974=Trades!I974, "N/A", (Trades!R974-Trades!H974)/(Trades!H974-Trades!I974)))</f>
        <v/>
      </c>
      <c r="V974" s="65" t="str">
        <f t="shared" si="123"/>
        <v/>
      </c>
      <c r="W974" s="66" t="str">
        <f t="shared" si="124"/>
        <v/>
      </c>
      <c r="X974" s="62" t="str">
        <f t="shared" si="125"/>
        <v/>
      </c>
      <c r="Y974" s="45"/>
      <c r="Z974" s="44"/>
      <c r="AA974" s="41"/>
      <c r="AB974" s="39"/>
      <c r="AC974" s="37" t="str">
        <f t="shared" si="126"/>
        <v/>
      </c>
    </row>
    <row r="975" spans="2:29" x14ac:dyDescent="0.25">
      <c r="B975" s="54">
        <v>969</v>
      </c>
      <c r="C975" s="168"/>
      <c r="D975" s="51"/>
      <c r="E975" s="29"/>
      <c r="F975" s="48"/>
      <c r="G975" s="29"/>
      <c r="H975" s="187"/>
      <c r="I975" s="187"/>
      <c r="J975" s="195"/>
      <c r="K975" s="86" t="str">
        <f t="shared" si="120"/>
        <v/>
      </c>
      <c r="L975" s="57" t="str">
        <f t="shared" si="127"/>
        <v/>
      </c>
      <c r="M975" s="186"/>
      <c r="N975" s="189"/>
      <c r="O975" s="190"/>
      <c r="P975" s="190" t="str">
        <f>IF(OR(ISBLANK(V975),COUNTBLANK(V975:$V$1048576)=ROWS(V975:$V$1048576)),"",$R$2*(1+SUM(V$7:V975)))</f>
        <v/>
      </c>
      <c r="Q975" s="191"/>
      <c r="R975" s="189"/>
      <c r="S975" s="53" t="str">
        <f t="shared" si="121"/>
        <v/>
      </c>
      <c r="T975" s="63" t="str">
        <f t="shared" si="122"/>
        <v/>
      </c>
      <c r="U975" s="64" t="str">
        <f>IF(OR(ISBLANK(Trades!R975), ISBLANK(Trades!H975), ISBLANK(Trades!I975)), "", IF(Trades!H975=Trades!I975, "N/A", (Trades!R975-Trades!H975)/(Trades!H975-Trades!I975)))</f>
        <v/>
      </c>
      <c r="V975" s="65" t="str">
        <f t="shared" si="123"/>
        <v/>
      </c>
      <c r="W975" s="66" t="str">
        <f t="shared" si="124"/>
        <v/>
      </c>
      <c r="X975" s="62" t="str">
        <f t="shared" si="125"/>
        <v/>
      </c>
      <c r="Y975" s="45"/>
      <c r="Z975" s="44"/>
      <c r="AA975" s="41"/>
      <c r="AB975" s="39"/>
      <c r="AC975" s="37" t="str">
        <f t="shared" si="126"/>
        <v/>
      </c>
    </row>
    <row r="976" spans="2:29" x14ac:dyDescent="0.25">
      <c r="B976" s="54">
        <v>970</v>
      </c>
      <c r="C976" s="168"/>
      <c r="D976" s="51"/>
      <c r="E976" s="29"/>
      <c r="F976" s="48"/>
      <c r="G976" s="29"/>
      <c r="H976" s="187"/>
      <c r="I976" s="187"/>
      <c r="J976" s="195"/>
      <c r="K976" s="86" t="str">
        <f t="shared" si="120"/>
        <v/>
      </c>
      <c r="L976" s="57" t="str">
        <f t="shared" si="127"/>
        <v/>
      </c>
      <c r="M976" s="186"/>
      <c r="N976" s="189"/>
      <c r="O976" s="190"/>
      <c r="P976" s="190" t="str">
        <f>IF(OR(ISBLANK(V976),COUNTBLANK(V976:$V$1048576)=ROWS(V976:$V$1048576)),"",$R$2*(1+SUM(V$7:V976)))</f>
        <v/>
      </c>
      <c r="Q976" s="191"/>
      <c r="R976" s="189"/>
      <c r="S976" s="53" t="str">
        <f t="shared" si="121"/>
        <v/>
      </c>
      <c r="T976" s="63" t="str">
        <f t="shared" si="122"/>
        <v/>
      </c>
      <c r="U976" s="64" t="str">
        <f>IF(OR(ISBLANK(Trades!R976), ISBLANK(Trades!H976), ISBLANK(Trades!I976)), "", IF(Trades!H976=Trades!I976, "N/A", (Trades!R976-Trades!H976)/(Trades!H976-Trades!I976)))</f>
        <v/>
      </c>
      <c r="V976" s="65" t="str">
        <f t="shared" si="123"/>
        <v/>
      </c>
      <c r="W976" s="66" t="str">
        <f t="shared" si="124"/>
        <v/>
      </c>
      <c r="X976" s="62" t="str">
        <f t="shared" si="125"/>
        <v/>
      </c>
      <c r="Y976" s="45"/>
      <c r="Z976" s="44"/>
      <c r="AA976" s="41"/>
      <c r="AB976" s="39"/>
      <c r="AC976" s="37" t="str">
        <f t="shared" si="126"/>
        <v/>
      </c>
    </row>
    <row r="977" spans="2:29" x14ac:dyDescent="0.25">
      <c r="B977" s="54">
        <v>971</v>
      </c>
      <c r="C977" s="168"/>
      <c r="D977" s="51"/>
      <c r="E977" s="29"/>
      <c r="F977" s="48"/>
      <c r="G977" s="29"/>
      <c r="H977" s="187"/>
      <c r="I977" s="187"/>
      <c r="J977" s="195"/>
      <c r="K977" s="86" t="str">
        <f t="shared" si="120"/>
        <v/>
      </c>
      <c r="L977" s="57" t="str">
        <f t="shared" si="127"/>
        <v/>
      </c>
      <c r="M977" s="186"/>
      <c r="N977" s="189"/>
      <c r="O977" s="190"/>
      <c r="P977" s="190" t="str">
        <f>IF(OR(ISBLANK(V977),COUNTBLANK(V977:$V$1048576)=ROWS(V977:$V$1048576)),"",$R$2*(1+SUM(V$7:V977)))</f>
        <v/>
      </c>
      <c r="Q977" s="191"/>
      <c r="R977" s="189"/>
      <c r="S977" s="53" t="str">
        <f t="shared" si="121"/>
        <v/>
      </c>
      <c r="T977" s="63" t="str">
        <f t="shared" si="122"/>
        <v/>
      </c>
      <c r="U977" s="64" t="str">
        <f>IF(OR(ISBLANK(Trades!R977), ISBLANK(Trades!H977), ISBLANK(Trades!I977)), "", IF(Trades!H977=Trades!I977, "N/A", (Trades!R977-Trades!H977)/(Trades!H977-Trades!I977)))</f>
        <v/>
      </c>
      <c r="V977" s="65" t="str">
        <f t="shared" si="123"/>
        <v/>
      </c>
      <c r="W977" s="66" t="str">
        <f t="shared" si="124"/>
        <v/>
      </c>
      <c r="X977" s="62" t="str">
        <f t="shared" si="125"/>
        <v/>
      </c>
      <c r="Y977" s="45"/>
      <c r="Z977" s="44"/>
      <c r="AA977" s="41"/>
      <c r="AB977" s="39"/>
      <c r="AC977" s="37" t="str">
        <f t="shared" si="126"/>
        <v/>
      </c>
    </row>
    <row r="978" spans="2:29" x14ac:dyDescent="0.25">
      <c r="B978" s="54">
        <v>972</v>
      </c>
      <c r="C978" s="168"/>
      <c r="D978" s="51"/>
      <c r="E978" s="29"/>
      <c r="F978" s="48"/>
      <c r="G978" s="29"/>
      <c r="H978" s="187"/>
      <c r="I978" s="187"/>
      <c r="J978" s="195"/>
      <c r="K978" s="86" t="str">
        <f t="shared" si="120"/>
        <v/>
      </c>
      <c r="L978" s="57" t="str">
        <f t="shared" si="127"/>
        <v/>
      </c>
      <c r="M978" s="186"/>
      <c r="N978" s="189"/>
      <c r="O978" s="190"/>
      <c r="P978" s="190" t="str">
        <f>IF(OR(ISBLANK(V978),COUNTBLANK(V978:$V$1048576)=ROWS(V978:$V$1048576)),"",$R$2*(1+SUM(V$7:V978)))</f>
        <v/>
      </c>
      <c r="Q978" s="191"/>
      <c r="R978" s="189"/>
      <c r="S978" s="53" t="str">
        <f t="shared" si="121"/>
        <v/>
      </c>
      <c r="T978" s="63" t="str">
        <f t="shared" si="122"/>
        <v/>
      </c>
      <c r="U978" s="64" t="str">
        <f>IF(OR(ISBLANK(Trades!R978), ISBLANK(Trades!H978), ISBLANK(Trades!I978)), "", IF(Trades!H978=Trades!I978, "N/A", (Trades!R978-Trades!H978)/(Trades!H978-Trades!I978)))</f>
        <v/>
      </c>
      <c r="V978" s="65" t="str">
        <f t="shared" si="123"/>
        <v/>
      </c>
      <c r="W978" s="66" t="str">
        <f t="shared" si="124"/>
        <v/>
      </c>
      <c r="X978" s="62" t="str">
        <f t="shared" si="125"/>
        <v/>
      </c>
      <c r="Y978" s="45"/>
      <c r="Z978" s="44"/>
      <c r="AA978" s="41"/>
      <c r="AB978" s="39"/>
      <c r="AC978" s="37" t="str">
        <f t="shared" si="126"/>
        <v/>
      </c>
    </row>
    <row r="979" spans="2:29" x14ac:dyDescent="0.25">
      <c r="B979" s="54">
        <v>973</v>
      </c>
      <c r="C979" s="168"/>
      <c r="D979" s="51"/>
      <c r="E979" s="29"/>
      <c r="F979" s="48"/>
      <c r="G979" s="29"/>
      <c r="H979" s="187"/>
      <c r="I979" s="187"/>
      <c r="J979" s="195"/>
      <c r="K979" s="86" t="str">
        <f t="shared" si="120"/>
        <v/>
      </c>
      <c r="L979" s="57" t="str">
        <f t="shared" si="127"/>
        <v/>
      </c>
      <c r="M979" s="186"/>
      <c r="N979" s="189"/>
      <c r="O979" s="190"/>
      <c r="P979" s="190" t="str">
        <f>IF(OR(ISBLANK(V979),COUNTBLANK(V979:$V$1048576)=ROWS(V979:$V$1048576)),"",$R$2*(1+SUM(V$7:V979)))</f>
        <v/>
      </c>
      <c r="Q979" s="191"/>
      <c r="R979" s="189"/>
      <c r="S979" s="53" t="str">
        <f t="shared" si="121"/>
        <v/>
      </c>
      <c r="T979" s="63" t="str">
        <f t="shared" si="122"/>
        <v/>
      </c>
      <c r="U979" s="64" t="str">
        <f>IF(OR(ISBLANK(Trades!R979), ISBLANK(Trades!H979), ISBLANK(Trades!I979)), "", IF(Trades!H979=Trades!I979, "N/A", (Trades!R979-Trades!H979)/(Trades!H979-Trades!I979)))</f>
        <v/>
      </c>
      <c r="V979" s="65" t="str">
        <f t="shared" si="123"/>
        <v/>
      </c>
      <c r="W979" s="66" t="str">
        <f t="shared" si="124"/>
        <v/>
      </c>
      <c r="X979" s="62" t="str">
        <f t="shared" si="125"/>
        <v/>
      </c>
      <c r="Y979" s="45"/>
      <c r="Z979" s="44"/>
      <c r="AA979" s="41"/>
      <c r="AB979" s="39"/>
      <c r="AC979" s="37" t="str">
        <f t="shared" si="126"/>
        <v/>
      </c>
    </row>
    <row r="980" spans="2:29" x14ac:dyDescent="0.25">
      <c r="B980" s="54">
        <v>974</v>
      </c>
      <c r="C980" s="168"/>
      <c r="D980" s="51"/>
      <c r="E980" s="29"/>
      <c r="F980" s="48"/>
      <c r="G980" s="29"/>
      <c r="H980" s="187"/>
      <c r="I980" s="187"/>
      <c r="J980" s="195"/>
      <c r="K980" s="86" t="str">
        <f t="shared" si="120"/>
        <v/>
      </c>
      <c r="L980" s="57" t="str">
        <f t="shared" si="127"/>
        <v/>
      </c>
      <c r="M980" s="186"/>
      <c r="N980" s="189"/>
      <c r="O980" s="190"/>
      <c r="P980" s="190" t="str">
        <f>IF(OR(ISBLANK(V980),COUNTBLANK(V980:$V$1048576)=ROWS(V980:$V$1048576)),"",$R$2*(1+SUM(V$7:V980)))</f>
        <v/>
      </c>
      <c r="Q980" s="191"/>
      <c r="R980" s="189"/>
      <c r="S980" s="53" t="str">
        <f t="shared" si="121"/>
        <v/>
      </c>
      <c r="T980" s="63" t="str">
        <f t="shared" si="122"/>
        <v/>
      </c>
      <c r="U980" s="64" t="str">
        <f>IF(OR(ISBLANK(Trades!R980), ISBLANK(Trades!H980), ISBLANK(Trades!I980)), "", IF(Trades!H980=Trades!I980, "N/A", (Trades!R980-Trades!H980)/(Trades!H980-Trades!I980)))</f>
        <v/>
      </c>
      <c r="V980" s="65" t="str">
        <f t="shared" si="123"/>
        <v/>
      </c>
      <c r="W980" s="66" t="str">
        <f t="shared" si="124"/>
        <v/>
      </c>
      <c r="X980" s="62" t="str">
        <f t="shared" si="125"/>
        <v/>
      </c>
      <c r="Y980" s="45"/>
      <c r="Z980" s="44"/>
      <c r="AA980" s="41"/>
      <c r="AB980" s="39"/>
      <c r="AC980" s="37" t="str">
        <f t="shared" si="126"/>
        <v/>
      </c>
    </row>
    <row r="981" spans="2:29" x14ac:dyDescent="0.25">
      <c r="B981" s="54">
        <v>975</v>
      </c>
      <c r="C981" s="168"/>
      <c r="D981" s="51"/>
      <c r="E981" s="29"/>
      <c r="F981" s="48"/>
      <c r="G981" s="29"/>
      <c r="H981" s="187"/>
      <c r="I981" s="187"/>
      <c r="J981" s="195"/>
      <c r="K981" s="86" t="str">
        <f t="shared" si="120"/>
        <v/>
      </c>
      <c r="L981" s="57" t="str">
        <f t="shared" si="127"/>
        <v/>
      </c>
      <c r="M981" s="186"/>
      <c r="N981" s="189"/>
      <c r="O981" s="190"/>
      <c r="P981" s="190" t="str">
        <f>IF(OR(ISBLANK(V981),COUNTBLANK(V981:$V$1048576)=ROWS(V981:$V$1048576)),"",$R$2*(1+SUM(V$7:V981)))</f>
        <v/>
      </c>
      <c r="Q981" s="191"/>
      <c r="R981" s="189"/>
      <c r="S981" s="53" t="str">
        <f t="shared" si="121"/>
        <v/>
      </c>
      <c r="T981" s="63" t="str">
        <f t="shared" si="122"/>
        <v/>
      </c>
      <c r="U981" s="64" t="str">
        <f>IF(OR(ISBLANK(Trades!R981), ISBLANK(Trades!H981), ISBLANK(Trades!I981)), "", IF(Trades!H981=Trades!I981, "N/A", (Trades!R981-Trades!H981)/(Trades!H981-Trades!I981)))</f>
        <v/>
      </c>
      <c r="V981" s="65" t="str">
        <f t="shared" si="123"/>
        <v/>
      </c>
      <c r="W981" s="66" t="str">
        <f t="shared" si="124"/>
        <v/>
      </c>
      <c r="X981" s="62" t="str">
        <f t="shared" si="125"/>
        <v/>
      </c>
      <c r="Y981" s="45"/>
      <c r="Z981" s="44"/>
      <c r="AA981" s="41"/>
      <c r="AB981" s="39"/>
      <c r="AC981" s="37" t="str">
        <f t="shared" si="126"/>
        <v/>
      </c>
    </row>
    <row r="982" spans="2:29" x14ac:dyDescent="0.25">
      <c r="B982" s="54">
        <v>976</v>
      </c>
      <c r="C982" s="168"/>
      <c r="D982" s="51"/>
      <c r="E982" s="29"/>
      <c r="F982" s="48"/>
      <c r="G982" s="29"/>
      <c r="H982" s="187"/>
      <c r="I982" s="187"/>
      <c r="J982" s="195"/>
      <c r="K982" s="86" t="str">
        <f t="shared" si="120"/>
        <v/>
      </c>
      <c r="L982" s="57" t="str">
        <f t="shared" si="127"/>
        <v/>
      </c>
      <c r="M982" s="186"/>
      <c r="N982" s="189"/>
      <c r="O982" s="190"/>
      <c r="P982" s="190" t="str">
        <f>IF(OR(ISBLANK(V982),COUNTBLANK(V982:$V$1048576)=ROWS(V982:$V$1048576)),"",$R$2*(1+SUM(V$7:V982)))</f>
        <v/>
      </c>
      <c r="Q982" s="191"/>
      <c r="R982" s="189"/>
      <c r="S982" s="53" t="str">
        <f t="shared" si="121"/>
        <v/>
      </c>
      <c r="T982" s="63" t="str">
        <f t="shared" si="122"/>
        <v/>
      </c>
      <c r="U982" s="64" t="str">
        <f>IF(OR(ISBLANK(Trades!R982), ISBLANK(Trades!H982), ISBLANK(Trades!I982)), "", IF(Trades!H982=Trades!I982, "N/A", (Trades!R982-Trades!H982)/(Trades!H982-Trades!I982)))</f>
        <v/>
      </c>
      <c r="V982" s="65" t="str">
        <f t="shared" si="123"/>
        <v/>
      </c>
      <c r="W982" s="66" t="str">
        <f t="shared" si="124"/>
        <v/>
      </c>
      <c r="X982" s="62" t="str">
        <f t="shared" si="125"/>
        <v/>
      </c>
      <c r="Y982" s="45"/>
      <c r="Z982" s="44"/>
      <c r="AA982" s="41"/>
      <c r="AB982" s="39"/>
      <c r="AC982" s="37" t="str">
        <f t="shared" si="126"/>
        <v/>
      </c>
    </row>
    <row r="983" spans="2:29" x14ac:dyDescent="0.25">
      <c r="B983" s="54">
        <v>977</v>
      </c>
      <c r="C983" s="168"/>
      <c r="D983" s="51"/>
      <c r="E983" s="29"/>
      <c r="F983" s="48"/>
      <c r="G983" s="29"/>
      <c r="H983" s="187"/>
      <c r="I983" s="187"/>
      <c r="J983" s="195"/>
      <c r="K983" s="86" t="str">
        <f t="shared" si="120"/>
        <v/>
      </c>
      <c r="L983" s="57" t="str">
        <f t="shared" si="127"/>
        <v/>
      </c>
      <c r="M983" s="186"/>
      <c r="N983" s="189"/>
      <c r="O983" s="190"/>
      <c r="P983" s="190" t="str">
        <f>IF(OR(ISBLANK(V983),COUNTBLANK(V983:$V$1048576)=ROWS(V983:$V$1048576)),"",$R$2*(1+SUM(V$7:V983)))</f>
        <v/>
      </c>
      <c r="Q983" s="191"/>
      <c r="R983" s="189"/>
      <c r="S983" s="53" t="str">
        <f t="shared" si="121"/>
        <v/>
      </c>
      <c r="T983" s="63" t="str">
        <f t="shared" si="122"/>
        <v/>
      </c>
      <c r="U983" s="64" t="str">
        <f>IF(OR(ISBLANK(Trades!R983), ISBLANK(Trades!H983), ISBLANK(Trades!I983)), "", IF(Trades!H983=Trades!I983, "N/A", (Trades!R983-Trades!H983)/(Trades!H983-Trades!I983)))</f>
        <v/>
      </c>
      <c r="V983" s="65" t="str">
        <f t="shared" si="123"/>
        <v/>
      </c>
      <c r="W983" s="66" t="str">
        <f t="shared" si="124"/>
        <v/>
      </c>
      <c r="X983" s="62" t="str">
        <f t="shared" si="125"/>
        <v/>
      </c>
      <c r="Y983" s="45"/>
      <c r="Z983" s="44"/>
      <c r="AA983" s="41"/>
      <c r="AB983" s="39"/>
      <c r="AC983" s="37" t="str">
        <f t="shared" si="126"/>
        <v/>
      </c>
    </row>
    <row r="984" spans="2:29" x14ac:dyDescent="0.25">
      <c r="B984" s="54">
        <v>978</v>
      </c>
      <c r="C984" s="168"/>
      <c r="D984" s="51"/>
      <c r="E984" s="29"/>
      <c r="F984" s="48"/>
      <c r="G984" s="29"/>
      <c r="H984" s="187"/>
      <c r="I984" s="187"/>
      <c r="J984" s="195"/>
      <c r="K984" s="86" t="str">
        <f t="shared" si="120"/>
        <v/>
      </c>
      <c r="L984" s="57" t="str">
        <f t="shared" si="127"/>
        <v/>
      </c>
      <c r="M984" s="186"/>
      <c r="N984" s="189"/>
      <c r="O984" s="190"/>
      <c r="P984" s="190" t="str">
        <f>IF(OR(ISBLANK(V984),COUNTBLANK(V984:$V$1048576)=ROWS(V984:$V$1048576)),"",$R$2*(1+SUM(V$7:V984)))</f>
        <v/>
      </c>
      <c r="Q984" s="191"/>
      <c r="R984" s="189"/>
      <c r="S984" s="53" t="str">
        <f t="shared" si="121"/>
        <v/>
      </c>
      <c r="T984" s="63" t="str">
        <f t="shared" si="122"/>
        <v/>
      </c>
      <c r="U984" s="64" t="str">
        <f>IF(OR(ISBLANK(Trades!R984), ISBLANK(Trades!H984), ISBLANK(Trades!I984)), "", IF(Trades!H984=Trades!I984, "N/A", (Trades!R984-Trades!H984)/(Trades!H984-Trades!I984)))</f>
        <v/>
      </c>
      <c r="V984" s="65" t="str">
        <f t="shared" si="123"/>
        <v/>
      </c>
      <c r="W984" s="66" t="str">
        <f t="shared" si="124"/>
        <v/>
      </c>
      <c r="X984" s="62" t="str">
        <f t="shared" si="125"/>
        <v/>
      </c>
      <c r="Y984" s="45"/>
      <c r="Z984" s="44"/>
      <c r="AA984" s="41"/>
      <c r="AB984" s="39"/>
      <c r="AC984" s="37" t="str">
        <f t="shared" si="126"/>
        <v/>
      </c>
    </row>
    <row r="985" spans="2:29" x14ac:dyDescent="0.25">
      <c r="B985" s="54">
        <v>979</v>
      </c>
      <c r="C985" s="168"/>
      <c r="D985" s="51"/>
      <c r="E985" s="29"/>
      <c r="F985" s="48"/>
      <c r="G985" s="29"/>
      <c r="H985" s="187"/>
      <c r="I985" s="187"/>
      <c r="J985" s="195"/>
      <c r="K985" s="86" t="str">
        <f t="shared" si="120"/>
        <v/>
      </c>
      <c r="L985" s="57" t="str">
        <f t="shared" si="127"/>
        <v/>
      </c>
      <c r="M985" s="186"/>
      <c r="N985" s="189"/>
      <c r="O985" s="190"/>
      <c r="P985" s="190" t="str">
        <f>IF(OR(ISBLANK(V985),COUNTBLANK(V985:$V$1048576)=ROWS(V985:$V$1048576)),"",$R$2*(1+SUM(V$7:V985)))</f>
        <v/>
      </c>
      <c r="Q985" s="191"/>
      <c r="R985" s="189"/>
      <c r="S985" s="53" t="str">
        <f t="shared" si="121"/>
        <v/>
      </c>
      <c r="T985" s="63" t="str">
        <f t="shared" si="122"/>
        <v/>
      </c>
      <c r="U985" s="64" t="str">
        <f>IF(OR(ISBLANK(Trades!R985), ISBLANK(Trades!H985), ISBLANK(Trades!I985)), "", IF(Trades!H985=Trades!I985, "N/A", (Trades!R985-Trades!H985)/(Trades!H985-Trades!I985)))</f>
        <v/>
      </c>
      <c r="V985" s="65" t="str">
        <f t="shared" si="123"/>
        <v/>
      </c>
      <c r="W985" s="66" t="str">
        <f t="shared" si="124"/>
        <v/>
      </c>
      <c r="X985" s="62" t="str">
        <f t="shared" si="125"/>
        <v/>
      </c>
      <c r="Y985" s="45"/>
      <c r="Z985" s="44"/>
      <c r="AA985" s="41"/>
      <c r="AB985" s="39"/>
      <c r="AC985" s="37" t="str">
        <f t="shared" si="126"/>
        <v/>
      </c>
    </row>
    <row r="986" spans="2:29" x14ac:dyDescent="0.25">
      <c r="B986" s="54">
        <v>980</v>
      </c>
      <c r="C986" s="168"/>
      <c r="D986" s="51"/>
      <c r="E986" s="29"/>
      <c r="F986" s="48"/>
      <c r="G986" s="29"/>
      <c r="H986" s="187"/>
      <c r="I986" s="187"/>
      <c r="J986" s="195"/>
      <c r="K986" s="86" t="str">
        <f t="shared" si="120"/>
        <v/>
      </c>
      <c r="L986" s="57" t="str">
        <f t="shared" si="127"/>
        <v/>
      </c>
      <c r="M986" s="186"/>
      <c r="N986" s="189"/>
      <c r="O986" s="190"/>
      <c r="P986" s="190" t="str">
        <f>IF(OR(ISBLANK(V986),COUNTBLANK(V986:$V$1048576)=ROWS(V986:$V$1048576)),"",$R$2*(1+SUM(V$7:V986)))</f>
        <v/>
      </c>
      <c r="Q986" s="191"/>
      <c r="R986" s="189"/>
      <c r="S986" s="53" t="str">
        <f t="shared" si="121"/>
        <v/>
      </c>
      <c r="T986" s="63" t="str">
        <f t="shared" si="122"/>
        <v/>
      </c>
      <c r="U986" s="64" t="str">
        <f>IF(OR(ISBLANK(Trades!R986), ISBLANK(Trades!H986), ISBLANK(Trades!I986)), "", IF(Trades!H986=Trades!I986, "N/A", (Trades!R986-Trades!H986)/(Trades!H986-Trades!I986)))</f>
        <v/>
      </c>
      <c r="V986" s="65" t="str">
        <f t="shared" si="123"/>
        <v/>
      </c>
      <c r="W986" s="66" t="str">
        <f t="shared" si="124"/>
        <v/>
      </c>
      <c r="X986" s="62" t="str">
        <f t="shared" si="125"/>
        <v/>
      </c>
      <c r="Y986" s="45"/>
      <c r="Z986" s="44"/>
      <c r="AA986" s="41"/>
      <c r="AB986" s="39"/>
      <c r="AC986" s="37" t="str">
        <f t="shared" si="126"/>
        <v/>
      </c>
    </row>
    <row r="987" spans="2:29" x14ac:dyDescent="0.25">
      <c r="B987" s="54">
        <v>981</v>
      </c>
      <c r="C987" s="168"/>
      <c r="D987" s="51"/>
      <c r="E987" s="29"/>
      <c r="F987" s="48"/>
      <c r="G987" s="29"/>
      <c r="H987" s="187"/>
      <c r="I987" s="187"/>
      <c r="J987" s="195"/>
      <c r="K987" s="86" t="str">
        <f t="shared" si="120"/>
        <v/>
      </c>
      <c r="L987" s="57" t="str">
        <f t="shared" si="127"/>
        <v/>
      </c>
      <c r="M987" s="186"/>
      <c r="N987" s="189"/>
      <c r="O987" s="190"/>
      <c r="P987" s="190" t="str">
        <f>IF(OR(ISBLANK(V987),COUNTBLANK(V987:$V$1048576)=ROWS(V987:$V$1048576)),"",$R$2*(1+SUM(V$7:V987)))</f>
        <v/>
      </c>
      <c r="Q987" s="191"/>
      <c r="R987" s="189"/>
      <c r="S987" s="53" t="str">
        <f t="shared" si="121"/>
        <v/>
      </c>
      <c r="T987" s="63" t="str">
        <f t="shared" si="122"/>
        <v/>
      </c>
      <c r="U987" s="64" t="str">
        <f>IF(OR(ISBLANK(Trades!R987), ISBLANK(Trades!H987), ISBLANK(Trades!I987)), "", IF(Trades!H987=Trades!I987, "N/A", (Trades!R987-Trades!H987)/(Trades!H987-Trades!I987)))</f>
        <v/>
      </c>
      <c r="V987" s="65" t="str">
        <f t="shared" si="123"/>
        <v/>
      </c>
      <c r="W987" s="66" t="str">
        <f t="shared" si="124"/>
        <v/>
      </c>
      <c r="X987" s="62" t="str">
        <f t="shared" si="125"/>
        <v/>
      </c>
      <c r="Y987" s="45"/>
      <c r="Z987" s="44"/>
      <c r="AA987" s="41"/>
      <c r="AB987" s="39"/>
      <c r="AC987" s="37" t="str">
        <f t="shared" si="126"/>
        <v/>
      </c>
    </row>
    <row r="988" spans="2:29" x14ac:dyDescent="0.25">
      <c r="B988" s="54">
        <v>982</v>
      </c>
      <c r="C988" s="168"/>
      <c r="D988" s="51"/>
      <c r="E988" s="29"/>
      <c r="F988" s="48"/>
      <c r="G988" s="29"/>
      <c r="H988" s="187"/>
      <c r="I988" s="187"/>
      <c r="J988" s="195"/>
      <c r="K988" s="86" t="str">
        <f t="shared" si="120"/>
        <v/>
      </c>
      <c r="L988" s="57" t="str">
        <f t="shared" si="127"/>
        <v/>
      </c>
      <c r="M988" s="186"/>
      <c r="N988" s="189"/>
      <c r="O988" s="190"/>
      <c r="P988" s="190" t="str">
        <f>IF(OR(ISBLANK(V988),COUNTBLANK(V988:$V$1048576)=ROWS(V988:$V$1048576)),"",$R$2*(1+SUM(V$7:V988)))</f>
        <v/>
      </c>
      <c r="Q988" s="191"/>
      <c r="R988" s="189"/>
      <c r="S988" s="53" t="str">
        <f t="shared" si="121"/>
        <v/>
      </c>
      <c r="T988" s="63" t="str">
        <f t="shared" si="122"/>
        <v/>
      </c>
      <c r="U988" s="64" t="str">
        <f>IF(OR(ISBLANK(Trades!R988), ISBLANK(Trades!H988), ISBLANK(Trades!I988)), "", IF(Trades!H988=Trades!I988, "N/A", (Trades!R988-Trades!H988)/(Trades!H988-Trades!I988)))</f>
        <v/>
      </c>
      <c r="V988" s="65" t="str">
        <f t="shared" si="123"/>
        <v/>
      </c>
      <c r="W988" s="66" t="str">
        <f t="shared" si="124"/>
        <v/>
      </c>
      <c r="X988" s="62" t="str">
        <f t="shared" si="125"/>
        <v/>
      </c>
      <c r="Y988" s="45"/>
      <c r="Z988" s="44"/>
      <c r="AA988" s="41"/>
      <c r="AB988" s="39"/>
      <c r="AC988" s="37" t="str">
        <f t="shared" si="126"/>
        <v/>
      </c>
    </row>
    <row r="989" spans="2:29" x14ac:dyDescent="0.25">
      <c r="B989" s="54">
        <v>983</v>
      </c>
      <c r="C989" s="168"/>
      <c r="D989" s="51"/>
      <c r="E989" s="29"/>
      <c r="F989" s="48"/>
      <c r="G989" s="29"/>
      <c r="H989" s="187"/>
      <c r="I989" s="187"/>
      <c r="J989" s="195"/>
      <c r="K989" s="86" t="str">
        <f t="shared" si="120"/>
        <v/>
      </c>
      <c r="L989" s="57" t="str">
        <f t="shared" si="127"/>
        <v/>
      </c>
      <c r="M989" s="186"/>
      <c r="N989" s="189"/>
      <c r="O989" s="190"/>
      <c r="P989" s="190" t="str">
        <f>IF(OR(ISBLANK(V989),COUNTBLANK(V989:$V$1048576)=ROWS(V989:$V$1048576)),"",$R$2*(1+SUM(V$7:V989)))</f>
        <v/>
      </c>
      <c r="Q989" s="191"/>
      <c r="R989" s="189"/>
      <c r="S989" s="53" t="str">
        <f t="shared" si="121"/>
        <v/>
      </c>
      <c r="T989" s="63" t="str">
        <f t="shared" si="122"/>
        <v/>
      </c>
      <c r="U989" s="64" t="str">
        <f>IF(OR(ISBLANK(Trades!R989), ISBLANK(Trades!H989), ISBLANK(Trades!I989)), "", IF(Trades!H989=Trades!I989, "N/A", (Trades!R989-Trades!H989)/(Trades!H989-Trades!I989)))</f>
        <v/>
      </c>
      <c r="V989" s="65" t="str">
        <f t="shared" si="123"/>
        <v/>
      </c>
      <c r="W989" s="66" t="str">
        <f t="shared" si="124"/>
        <v/>
      </c>
      <c r="X989" s="62" t="str">
        <f t="shared" si="125"/>
        <v/>
      </c>
      <c r="Y989" s="45"/>
      <c r="Z989" s="44"/>
      <c r="AA989" s="41"/>
      <c r="AB989" s="39"/>
      <c r="AC989" s="37" t="str">
        <f t="shared" si="126"/>
        <v/>
      </c>
    </row>
    <row r="990" spans="2:29" x14ac:dyDescent="0.25">
      <c r="B990" s="54">
        <v>984</v>
      </c>
      <c r="C990" s="168"/>
      <c r="D990" s="51"/>
      <c r="E990" s="29"/>
      <c r="F990" s="48"/>
      <c r="G990" s="29"/>
      <c r="H990" s="187"/>
      <c r="I990" s="187"/>
      <c r="J990" s="195"/>
      <c r="K990" s="86" t="str">
        <f t="shared" si="120"/>
        <v/>
      </c>
      <c r="L990" s="57" t="str">
        <f t="shared" si="127"/>
        <v/>
      </c>
      <c r="M990" s="186"/>
      <c r="N990" s="189"/>
      <c r="O990" s="190"/>
      <c r="P990" s="190" t="str">
        <f>IF(OR(ISBLANK(V990),COUNTBLANK(V990:$V$1048576)=ROWS(V990:$V$1048576)),"",$R$2*(1+SUM(V$7:V990)))</f>
        <v/>
      </c>
      <c r="Q990" s="191"/>
      <c r="R990" s="189"/>
      <c r="S990" s="53" t="str">
        <f t="shared" si="121"/>
        <v/>
      </c>
      <c r="T990" s="63" t="str">
        <f t="shared" si="122"/>
        <v/>
      </c>
      <c r="U990" s="64" t="str">
        <f>IF(OR(ISBLANK(Trades!R990), ISBLANK(Trades!H990), ISBLANK(Trades!I990)), "", IF(Trades!H990=Trades!I990, "N/A", (Trades!R990-Trades!H990)/(Trades!H990-Trades!I990)))</f>
        <v/>
      </c>
      <c r="V990" s="65" t="str">
        <f t="shared" si="123"/>
        <v/>
      </c>
      <c r="W990" s="66" t="str">
        <f t="shared" si="124"/>
        <v/>
      </c>
      <c r="X990" s="62" t="str">
        <f t="shared" si="125"/>
        <v/>
      </c>
      <c r="Y990" s="45"/>
      <c r="Z990" s="44"/>
      <c r="AA990" s="41"/>
      <c r="AB990" s="39"/>
      <c r="AC990" s="37" t="str">
        <f t="shared" si="126"/>
        <v/>
      </c>
    </row>
    <row r="991" spans="2:29" x14ac:dyDescent="0.25">
      <c r="B991" s="54">
        <v>985</v>
      </c>
      <c r="C991" s="168"/>
      <c r="D991" s="51"/>
      <c r="E991" s="29"/>
      <c r="F991" s="48"/>
      <c r="G991" s="29"/>
      <c r="H991" s="187"/>
      <c r="I991" s="187"/>
      <c r="J991" s="195"/>
      <c r="K991" s="86" t="str">
        <f t="shared" si="120"/>
        <v/>
      </c>
      <c r="L991" s="57" t="str">
        <f t="shared" si="127"/>
        <v/>
      </c>
      <c r="M991" s="186"/>
      <c r="N991" s="189"/>
      <c r="O991" s="190"/>
      <c r="P991" s="190" t="str">
        <f>IF(OR(ISBLANK(V991),COUNTBLANK(V991:$V$1048576)=ROWS(V991:$V$1048576)),"",$R$2*(1+SUM(V$7:V991)))</f>
        <v/>
      </c>
      <c r="Q991" s="191"/>
      <c r="R991" s="189"/>
      <c r="S991" s="53" t="str">
        <f t="shared" si="121"/>
        <v/>
      </c>
      <c r="T991" s="63" t="str">
        <f t="shared" si="122"/>
        <v/>
      </c>
      <c r="U991" s="64" t="str">
        <f>IF(OR(ISBLANK(Trades!R991), ISBLANK(Trades!H991), ISBLANK(Trades!I991)), "", IF(Trades!H991=Trades!I991, "N/A", (Trades!R991-Trades!H991)/(Trades!H991-Trades!I991)))</f>
        <v/>
      </c>
      <c r="V991" s="65" t="str">
        <f t="shared" si="123"/>
        <v/>
      </c>
      <c r="W991" s="66" t="str">
        <f t="shared" si="124"/>
        <v/>
      </c>
      <c r="X991" s="62" t="str">
        <f t="shared" si="125"/>
        <v/>
      </c>
      <c r="Y991" s="45"/>
      <c r="Z991" s="44"/>
      <c r="AA991" s="41"/>
      <c r="AB991" s="39"/>
      <c r="AC991" s="37" t="str">
        <f t="shared" si="126"/>
        <v/>
      </c>
    </row>
    <row r="992" spans="2:29" x14ac:dyDescent="0.25">
      <c r="B992" s="54">
        <v>986</v>
      </c>
      <c r="C992" s="168"/>
      <c r="D992" s="51"/>
      <c r="E992" s="29"/>
      <c r="F992" s="48"/>
      <c r="G992" s="29"/>
      <c r="H992" s="187"/>
      <c r="I992" s="187"/>
      <c r="J992" s="195"/>
      <c r="K992" s="86" t="str">
        <f t="shared" si="120"/>
        <v/>
      </c>
      <c r="L992" s="57" t="str">
        <f t="shared" si="127"/>
        <v/>
      </c>
      <c r="M992" s="186"/>
      <c r="N992" s="189"/>
      <c r="O992" s="190"/>
      <c r="P992" s="190" t="str">
        <f>IF(OR(ISBLANK(V992),COUNTBLANK(V992:$V$1048576)=ROWS(V992:$V$1048576)),"",$R$2*(1+SUM(V$7:V992)))</f>
        <v/>
      </c>
      <c r="Q992" s="191"/>
      <c r="R992" s="189"/>
      <c r="S992" s="53" t="str">
        <f t="shared" si="121"/>
        <v/>
      </c>
      <c r="T992" s="63" t="str">
        <f t="shared" si="122"/>
        <v/>
      </c>
      <c r="U992" s="64" t="str">
        <f>IF(OR(ISBLANK(Trades!R992), ISBLANK(Trades!H992), ISBLANK(Trades!I992)), "", IF(Trades!H992=Trades!I992, "N/A", (Trades!R992-Trades!H992)/(Trades!H992-Trades!I992)))</f>
        <v/>
      </c>
      <c r="V992" s="65" t="str">
        <f t="shared" si="123"/>
        <v/>
      </c>
      <c r="W992" s="66" t="str">
        <f t="shared" si="124"/>
        <v/>
      </c>
      <c r="X992" s="62" t="str">
        <f t="shared" si="125"/>
        <v/>
      </c>
      <c r="Y992" s="45"/>
      <c r="Z992" s="44"/>
      <c r="AA992" s="41"/>
      <c r="AB992" s="39"/>
      <c r="AC992" s="37" t="str">
        <f t="shared" si="126"/>
        <v/>
      </c>
    </row>
    <row r="993" spans="2:29" x14ac:dyDescent="0.25">
      <c r="B993" s="54">
        <v>987</v>
      </c>
      <c r="C993" s="168"/>
      <c r="D993" s="51"/>
      <c r="E993" s="29"/>
      <c r="F993" s="48"/>
      <c r="G993" s="29"/>
      <c r="H993" s="187"/>
      <c r="I993" s="187"/>
      <c r="J993" s="195"/>
      <c r="K993" s="86" t="str">
        <f t="shared" si="120"/>
        <v/>
      </c>
      <c r="L993" s="57" t="str">
        <f t="shared" si="127"/>
        <v/>
      </c>
      <c r="M993" s="186"/>
      <c r="N993" s="189"/>
      <c r="O993" s="190"/>
      <c r="P993" s="190" t="str">
        <f>IF(OR(ISBLANK(V993),COUNTBLANK(V993:$V$1048576)=ROWS(V993:$V$1048576)),"",$R$2*(1+SUM(V$7:V993)))</f>
        <v/>
      </c>
      <c r="Q993" s="191"/>
      <c r="R993" s="189"/>
      <c r="S993" s="53" t="str">
        <f t="shared" si="121"/>
        <v/>
      </c>
      <c r="T993" s="63" t="str">
        <f t="shared" si="122"/>
        <v/>
      </c>
      <c r="U993" s="64" t="str">
        <f>IF(OR(ISBLANK(Trades!R993), ISBLANK(Trades!H993), ISBLANK(Trades!I993)), "", IF(Trades!H993=Trades!I993, "N/A", (Trades!R993-Trades!H993)/(Trades!H993-Trades!I993)))</f>
        <v/>
      </c>
      <c r="V993" s="65" t="str">
        <f t="shared" si="123"/>
        <v/>
      </c>
      <c r="W993" s="66" t="str">
        <f t="shared" si="124"/>
        <v/>
      </c>
      <c r="X993" s="62" t="str">
        <f t="shared" si="125"/>
        <v/>
      </c>
      <c r="Y993" s="45"/>
      <c r="Z993" s="44"/>
      <c r="AA993" s="41"/>
      <c r="AB993" s="39"/>
      <c r="AC993" s="37" t="str">
        <f t="shared" si="126"/>
        <v/>
      </c>
    </row>
    <row r="994" spans="2:29" x14ac:dyDescent="0.25">
      <c r="B994" s="54">
        <v>988</v>
      </c>
      <c r="C994" s="168"/>
      <c r="D994" s="51"/>
      <c r="E994" s="29"/>
      <c r="F994" s="48"/>
      <c r="G994" s="29"/>
      <c r="H994" s="187"/>
      <c r="I994" s="187"/>
      <c r="J994" s="195"/>
      <c r="K994" s="86" t="str">
        <f t="shared" si="120"/>
        <v/>
      </c>
      <c r="L994" s="57" t="str">
        <f t="shared" si="127"/>
        <v/>
      </c>
      <c r="M994" s="186"/>
      <c r="N994" s="189"/>
      <c r="O994" s="190"/>
      <c r="P994" s="190" t="str">
        <f>IF(OR(ISBLANK(V994),COUNTBLANK(V994:$V$1048576)=ROWS(V994:$V$1048576)),"",$R$2*(1+SUM(V$7:V994)))</f>
        <v/>
      </c>
      <c r="Q994" s="191"/>
      <c r="R994" s="189"/>
      <c r="S994" s="53" t="str">
        <f t="shared" si="121"/>
        <v/>
      </c>
      <c r="T994" s="63" t="str">
        <f t="shared" si="122"/>
        <v/>
      </c>
      <c r="U994" s="64" t="str">
        <f>IF(OR(ISBLANK(Trades!R994), ISBLANK(Trades!H994), ISBLANK(Trades!I994)), "", IF(Trades!H994=Trades!I994, "N/A", (Trades!R994-Trades!H994)/(Trades!H994-Trades!I994)))</f>
        <v/>
      </c>
      <c r="V994" s="65" t="str">
        <f t="shared" si="123"/>
        <v/>
      </c>
      <c r="W994" s="66" t="str">
        <f t="shared" si="124"/>
        <v/>
      </c>
      <c r="X994" s="62" t="str">
        <f t="shared" si="125"/>
        <v/>
      </c>
      <c r="Y994" s="45"/>
      <c r="Z994" s="44"/>
      <c r="AA994" s="41"/>
      <c r="AB994" s="39"/>
      <c r="AC994" s="37" t="str">
        <f t="shared" si="126"/>
        <v/>
      </c>
    </row>
    <row r="995" spans="2:29" x14ac:dyDescent="0.25">
      <c r="B995" s="54">
        <v>989</v>
      </c>
      <c r="C995" s="168"/>
      <c r="D995" s="51"/>
      <c r="E995" s="29"/>
      <c r="F995" s="48"/>
      <c r="G995" s="29"/>
      <c r="H995" s="187"/>
      <c r="I995" s="187"/>
      <c r="J995" s="195"/>
      <c r="K995" s="86" t="str">
        <f t="shared" si="120"/>
        <v/>
      </c>
      <c r="L995" s="57" t="str">
        <f t="shared" si="127"/>
        <v/>
      </c>
      <c r="M995" s="186"/>
      <c r="N995" s="189"/>
      <c r="O995" s="190"/>
      <c r="P995" s="190" t="str">
        <f>IF(OR(ISBLANK(V995),COUNTBLANK(V995:$V$1048576)=ROWS(V995:$V$1048576)),"",$R$2*(1+SUM(V$7:V995)))</f>
        <v/>
      </c>
      <c r="Q995" s="191"/>
      <c r="R995" s="189"/>
      <c r="S995" s="53" t="str">
        <f t="shared" si="121"/>
        <v/>
      </c>
      <c r="T995" s="63" t="str">
        <f t="shared" si="122"/>
        <v/>
      </c>
      <c r="U995" s="64" t="str">
        <f>IF(OR(ISBLANK(Trades!R995), ISBLANK(Trades!H995), ISBLANK(Trades!I995)), "", IF(Trades!H995=Trades!I995, "N/A", (Trades!R995-Trades!H995)/(Trades!H995-Trades!I995)))</f>
        <v/>
      </c>
      <c r="V995" s="65" t="str">
        <f t="shared" si="123"/>
        <v/>
      </c>
      <c r="W995" s="66" t="str">
        <f t="shared" si="124"/>
        <v/>
      </c>
      <c r="X995" s="62" t="str">
        <f t="shared" si="125"/>
        <v/>
      </c>
      <c r="Y995" s="45"/>
      <c r="Z995" s="44"/>
      <c r="AA995" s="41"/>
      <c r="AB995" s="39"/>
      <c r="AC995" s="37" t="str">
        <f t="shared" si="126"/>
        <v/>
      </c>
    </row>
    <row r="996" spans="2:29" x14ac:dyDescent="0.25">
      <c r="B996" s="54">
        <v>990</v>
      </c>
      <c r="C996" s="168"/>
      <c r="D996" s="51"/>
      <c r="E996" s="29"/>
      <c r="F996" s="48"/>
      <c r="G996" s="29"/>
      <c r="H996" s="187"/>
      <c r="I996" s="187"/>
      <c r="J996" s="195"/>
      <c r="K996" s="86" t="str">
        <f t="shared" si="120"/>
        <v/>
      </c>
      <c r="L996" s="57" t="str">
        <f t="shared" si="127"/>
        <v/>
      </c>
      <c r="M996" s="186"/>
      <c r="N996" s="189"/>
      <c r="O996" s="190"/>
      <c r="P996" s="190" t="str">
        <f>IF(OR(ISBLANK(V996),COUNTBLANK(V996:$V$1048576)=ROWS(V996:$V$1048576)),"",$R$2*(1+SUM(V$7:V996)))</f>
        <v/>
      </c>
      <c r="Q996" s="191"/>
      <c r="R996" s="189"/>
      <c r="S996" s="53" t="str">
        <f t="shared" si="121"/>
        <v/>
      </c>
      <c r="T996" s="63" t="str">
        <f t="shared" si="122"/>
        <v/>
      </c>
      <c r="U996" s="64" t="str">
        <f>IF(OR(ISBLANK(Trades!R996), ISBLANK(Trades!H996), ISBLANK(Trades!I996)), "", IF(Trades!H996=Trades!I996, "N/A", (Trades!R996-Trades!H996)/(Trades!H996-Trades!I996)))</f>
        <v/>
      </c>
      <c r="V996" s="65" t="str">
        <f t="shared" si="123"/>
        <v/>
      </c>
      <c r="W996" s="66" t="str">
        <f t="shared" si="124"/>
        <v/>
      </c>
      <c r="X996" s="62" t="str">
        <f t="shared" si="125"/>
        <v/>
      </c>
      <c r="Y996" s="45"/>
      <c r="Z996" s="44"/>
      <c r="AA996" s="41"/>
      <c r="AB996" s="39"/>
      <c r="AC996" s="37" t="str">
        <f t="shared" si="126"/>
        <v/>
      </c>
    </row>
    <row r="997" spans="2:29" x14ac:dyDescent="0.25">
      <c r="B997" s="54">
        <v>991</v>
      </c>
      <c r="C997" s="168"/>
      <c r="D997" s="51"/>
      <c r="E997" s="29"/>
      <c r="F997" s="48"/>
      <c r="G997" s="29"/>
      <c r="H997" s="187"/>
      <c r="I997" s="187"/>
      <c r="J997" s="195"/>
      <c r="K997" s="86" t="str">
        <f t="shared" si="120"/>
        <v/>
      </c>
      <c r="L997" s="57" t="str">
        <f t="shared" si="127"/>
        <v/>
      </c>
      <c r="M997" s="186"/>
      <c r="N997" s="189"/>
      <c r="O997" s="190"/>
      <c r="P997" s="190" t="str">
        <f>IF(OR(ISBLANK(V997),COUNTBLANK(V997:$V$1048576)=ROWS(V997:$V$1048576)),"",$R$2*(1+SUM(V$7:V997)))</f>
        <v/>
      </c>
      <c r="Q997" s="191"/>
      <c r="R997" s="189"/>
      <c r="S997" s="53" t="str">
        <f t="shared" si="121"/>
        <v/>
      </c>
      <c r="T997" s="63" t="str">
        <f t="shared" si="122"/>
        <v/>
      </c>
      <c r="U997" s="64" t="str">
        <f>IF(OR(ISBLANK(Trades!R997), ISBLANK(Trades!H997), ISBLANK(Trades!I997)), "", IF(Trades!H997=Trades!I997, "N/A", (Trades!R997-Trades!H997)/(Trades!H997-Trades!I997)))</f>
        <v/>
      </c>
      <c r="V997" s="65" t="str">
        <f t="shared" si="123"/>
        <v/>
      </c>
      <c r="W997" s="66" t="str">
        <f t="shared" si="124"/>
        <v/>
      </c>
      <c r="X997" s="62" t="str">
        <f t="shared" si="125"/>
        <v/>
      </c>
      <c r="Y997" s="45"/>
      <c r="Z997" s="44"/>
      <c r="AA997" s="41"/>
      <c r="AB997" s="39"/>
      <c r="AC997" s="37" t="str">
        <f t="shared" si="126"/>
        <v/>
      </c>
    </row>
    <row r="998" spans="2:29" x14ac:dyDescent="0.25">
      <c r="B998" s="54">
        <v>992</v>
      </c>
      <c r="C998" s="168"/>
      <c r="D998" s="51"/>
      <c r="E998" s="29"/>
      <c r="F998" s="48"/>
      <c r="G998" s="29"/>
      <c r="H998" s="187"/>
      <c r="I998" s="187"/>
      <c r="J998" s="195"/>
      <c r="K998" s="86" t="str">
        <f t="shared" si="120"/>
        <v/>
      </c>
      <c r="L998" s="57" t="str">
        <f t="shared" si="127"/>
        <v/>
      </c>
      <c r="M998" s="186"/>
      <c r="N998" s="189"/>
      <c r="O998" s="190"/>
      <c r="P998" s="190" t="str">
        <f>IF(OR(ISBLANK(V998),COUNTBLANK(V998:$V$1048576)=ROWS(V998:$V$1048576)),"",$R$2*(1+SUM(V$7:V998)))</f>
        <v/>
      </c>
      <c r="Q998" s="191"/>
      <c r="R998" s="189"/>
      <c r="S998" s="53" t="str">
        <f t="shared" si="121"/>
        <v/>
      </c>
      <c r="T998" s="63" t="str">
        <f t="shared" si="122"/>
        <v/>
      </c>
      <c r="U998" s="64" t="str">
        <f>IF(OR(ISBLANK(Trades!R998), ISBLANK(Trades!H998), ISBLANK(Trades!I998)), "", IF(Trades!H998=Trades!I998, "N/A", (Trades!R998-Trades!H998)/(Trades!H998-Trades!I998)))</f>
        <v/>
      </c>
      <c r="V998" s="65" t="str">
        <f t="shared" si="123"/>
        <v/>
      </c>
      <c r="W998" s="66" t="str">
        <f t="shared" si="124"/>
        <v/>
      </c>
      <c r="X998" s="62" t="str">
        <f t="shared" si="125"/>
        <v/>
      </c>
      <c r="Y998" s="45"/>
      <c r="Z998" s="44"/>
      <c r="AA998" s="41"/>
      <c r="AB998" s="39"/>
      <c r="AC998" s="37" t="str">
        <f t="shared" si="126"/>
        <v/>
      </c>
    </row>
    <row r="999" spans="2:29" x14ac:dyDescent="0.25">
      <c r="B999" s="54">
        <v>993</v>
      </c>
      <c r="C999" s="168"/>
      <c r="D999" s="51"/>
      <c r="E999" s="29"/>
      <c r="F999" s="48"/>
      <c r="G999" s="29"/>
      <c r="H999" s="187"/>
      <c r="I999" s="187"/>
      <c r="J999" s="195"/>
      <c r="K999" s="86" t="str">
        <f t="shared" si="120"/>
        <v/>
      </c>
      <c r="L999" s="57" t="str">
        <f t="shared" si="127"/>
        <v/>
      </c>
      <c r="M999" s="186"/>
      <c r="N999" s="189"/>
      <c r="O999" s="190"/>
      <c r="P999" s="190" t="str">
        <f>IF(OR(ISBLANK(V999),COUNTBLANK(V999:$V$1048576)=ROWS(V999:$V$1048576)),"",$R$2*(1+SUM(V$7:V999)))</f>
        <v/>
      </c>
      <c r="Q999" s="191"/>
      <c r="R999" s="189"/>
      <c r="S999" s="53" t="str">
        <f t="shared" si="121"/>
        <v/>
      </c>
      <c r="T999" s="63" t="str">
        <f t="shared" si="122"/>
        <v/>
      </c>
      <c r="U999" s="64" t="str">
        <f>IF(OR(ISBLANK(Trades!R999), ISBLANK(Trades!H999), ISBLANK(Trades!I999)), "", IF(Trades!H999=Trades!I999, "N/A", (Trades!R999-Trades!H999)/(Trades!H999-Trades!I999)))</f>
        <v/>
      </c>
      <c r="V999" s="65" t="str">
        <f t="shared" si="123"/>
        <v/>
      </c>
      <c r="W999" s="66" t="str">
        <f t="shared" si="124"/>
        <v/>
      </c>
      <c r="X999" s="62" t="str">
        <f t="shared" si="125"/>
        <v/>
      </c>
      <c r="Y999" s="45"/>
      <c r="Z999" s="44"/>
      <c r="AA999" s="41"/>
      <c r="AB999" s="39"/>
      <c r="AC999" s="37" t="str">
        <f t="shared" si="126"/>
        <v/>
      </c>
    </row>
    <row r="1000" spans="2:29" x14ac:dyDescent="0.25">
      <c r="B1000" s="54">
        <v>994</v>
      </c>
      <c r="C1000" s="168"/>
      <c r="D1000" s="51"/>
      <c r="E1000" s="29"/>
      <c r="F1000" s="48"/>
      <c r="G1000" s="29"/>
      <c r="H1000" s="187"/>
      <c r="I1000" s="187"/>
      <c r="J1000" s="195"/>
      <c r="K1000" s="86" t="str">
        <f t="shared" si="120"/>
        <v/>
      </c>
      <c r="L1000" s="57" t="str">
        <f t="shared" si="127"/>
        <v/>
      </c>
      <c r="M1000" s="186"/>
      <c r="N1000" s="189"/>
      <c r="O1000" s="190"/>
      <c r="P1000" s="190" t="str">
        <f>IF(OR(ISBLANK(V1000),COUNTBLANK(V1000:$V$1048576)=ROWS(V1000:$V$1048576)),"",$R$2*(1+SUM(V$7:V1000)))</f>
        <v/>
      </c>
      <c r="Q1000" s="191"/>
      <c r="R1000" s="189"/>
      <c r="S1000" s="53" t="str">
        <f t="shared" si="121"/>
        <v/>
      </c>
      <c r="T1000" s="63" t="str">
        <f t="shared" si="122"/>
        <v/>
      </c>
      <c r="U1000" s="64" t="str">
        <f>IF(OR(ISBLANK(Trades!R1000), ISBLANK(Trades!H1000), ISBLANK(Trades!I1000)), "", IF(Trades!H1000=Trades!I1000, "N/A", (Trades!R1000-Trades!H1000)/(Trades!H1000-Trades!I1000)))</f>
        <v/>
      </c>
      <c r="V1000" s="65" t="str">
        <f t="shared" si="123"/>
        <v/>
      </c>
      <c r="W1000" s="66" t="str">
        <f t="shared" si="124"/>
        <v/>
      </c>
      <c r="X1000" s="62" t="str">
        <f t="shared" si="125"/>
        <v/>
      </c>
      <c r="Y1000" s="45"/>
      <c r="Z1000" s="44"/>
      <c r="AA1000" s="41"/>
      <c r="AB1000" s="39"/>
      <c r="AC1000" s="37" t="str">
        <f t="shared" si="126"/>
        <v/>
      </c>
    </row>
    <row r="1001" spans="2:29" x14ac:dyDescent="0.25">
      <c r="B1001" s="54">
        <v>995</v>
      </c>
      <c r="C1001" s="168"/>
      <c r="D1001" s="51"/>
      <c r="E1001" s="29"/>
      <c r="F1001" s="48"/>
      <c r="G1001" s="29"/>
      <c r="H1001" s="187"/>
      <c r="I1001" s="187"/>
      <c r="J1001" s="195"/>
      <c r="K1001" s="86" t="str">
        <f t="shared" si="120"/>
        <v/>
      </c>
      <c r="L1001" s="57" t="str">
        <f t="shared" si="127"/>
        <v/>
      </c>
      <c r="M1001" s="186"/>
      <c r="N1001" s="189"/>
      <c r="O1001" s="190"/>
      <c r="P1001" s="190" t="str">
        <f>IF(OR(ISBLANK(V1001),COUNTBLANK(V1001:$V$1048576)=ROWS(V1001:$V$1048576)),"",$R$2*(1+SUM(V$7:V1001)))</f>
        <v/>
      </c>
      <c r="Q1001" s="191"/>
      <c r="R1001" s="189"/>
      <c r="S1001" s="53" t="str">
        <f t="shared" si="121"/>
        <v/>
      </c>
      <c r="T1001" s="63" t="str">
        <f t="shared" si="122"/>
        <v/>
      </c>
      <c r="U1001" s="64" t="str">
        <f>IF(OR(ISBLANK(Trades!R1001), ISBLANK(Trades!H1001), ISBLANK(Trades!I1001)), "", IF(Trades!H1001=Trades!I1001, "N/A", (Trades!R1001-Trades!H1001)/(Trades!H1001-Trades!I1001)))</f>
        <v/>
      </c>
      <c r="V1001" s="65" t="str">
        <f t="shared" si="123"/>
        <v/>
      </c>
      <c r="W1001" s="66" t="str">
        <f t="shared" si="124"/>
        <v/>
      </c>
      <c r="X1001" s="62" t="str">
        <f t="shared" si="125"/>
        <v/>
      </c>
      <c r="Y1001" s="45"/>
      <c r="Z1001" s="44"/>
      <c r="AA1001" s="41"/>
      <c r="AB1001" s="39"/>
      <c r="AC1001" s="37" t="str">
        <f t="shared" si="126"/>
        <v/>
      </c>
    </row>
    <row r="1002" spans="2:29" x14ac:dyDescent="0.25">
      <c r="B1002" s="54">
        <v>996</v>
      </c>
      <c r="C1002" s="168"/>
      <c r="D1002" s="51"/>
      <c r="E1002" s="29"/>
      <c r="F1002" s="48"/>
      <c r="G1002" s="29"/>
      <c r="H1002" s="187"/>
      <c r="I1002" s="187"/>
      <c r="J1002" s="195"/>
      <c r="K1002" s="86" t="str">
        <f t="shared" si="120"/>
        <v/>
      </c>
      <c r="L1002" s="57" t="str">
        <f t="shared" si="127"/>
        <v/>
      </c>
      <c r="M1002" s="186"/>
      <c r="N1002" s="189"/>
      <c r="O1002" s="190"/>
      <c r="P1002" s="190" t="str">
        <f>IF(OR(ISBLANK(V1002),COUNTBLANK(V1002:$V$1048576)=ROWS(V1002:$V$1048576)),"",$R$2*(1+SUM(V$7:V1002)))</f>
        <v/>
      </c>
      <c r="Q1002" s="191"/>
      <c r="R1002" s="189"/>
      <c r="S1002" s="53" t="str">
        <f t="shared" si="121"/>
        <v/>
      </c>
      <c r="T1002" s="63" t="str">
        <f t="shared" si="122"/>
        <v/>
      </c>
      <c r="U1002" s="64" t="str">
        <f>IF(OR(ISBLANK(Trades!R1002), ISBLANK(Trades!H1002), ISBLANK(Trades!I1002)), "", IF(Trades!H1002=Trades!I1002, "N/A", (Trades!R1002-Trades!H1002)/(Trades!H1002-Trades!I1002)))</f>
        <v/>
      </c>
      <c r="V1002" s="65" t="str">
        <f t="shared" si="123"/>
        <v/>
      </c>
      <c r="W1002" s="66" t="str">
        <f t="shared" si="124"/>
        <v/>
      </c>
      <c r="X1002" s="62" t="str">
        <f t="shared" si="125"/>
        <v/>
      </c>
      <c r="Y1002" s="45"/>
      <c r="Z1002" s="44"/>
      <c r="AA1002" s="41"/>
      <c r="AB1002" s="39"/>
      <c r="AC1002" s="37" t="str">
        <f t="shared" si="126"/>
        <v/>
      </c>
    </row>
    <row r="1003" spans="2:29" x14ac:dyDescent="0.25">
      <c r="B1003" s="54">
        <v>997</v>
      </c>
      <c r="C1003" s="168"/>
      <c r="D1003" s="51"/>
      <c r="E1003" s="29"/>
      <c r="F1003" s="48"/>
      <c r="G1003" s="29"/>
      <c r="H1003" s="187"/>
      <c r="I1003" s="187"/>
      <c r="J1003" s="195"/>
      <c r="K1003" s="86" t="str">
        <f t="shared" si="120"/>
        <v/>
      </c>
      <c r="L1003" s="57" t="str">
        <f t="shared" si="127"/>
        <v/>
      </c>
      <c r="M1003" s="186"/>
      <c r="N1003" s="189"/>
      <c r="O1003" s="190"/>
      <c r="P1003" s="190" t="str">
        <f>IF(OR(ISBLANK(V1003),COUNTBLANK(V1003:$V$1048576)=ROWS(V1003:$V$1048576)),"",$R$2*(1+SUM(V$7:V1003)))</f>
        <v/>
      </c>
      <c r="Q1003" s="191"/>
      <c r="R1003" s="189"/>
      <c r="S1003" s="53" t="str">
        <f t="shared" si="121"/>
        <v/>
      </c>
      <c r="T1003" s="63" t="str">
        <f t="shared" si="122"/>
        <v/>
      </c>
      <c r="U1003" s="64" t="str">
        <f>IF(OR(ISBLANK(Trades!R1003), ISBLANK(Trades!H1003), ISBLANK(Trades!I1003)), "", IF(Trades!H1003=Trades!I1003, "N/A", (Trades!R1003-Trades!H1003)/(Trades!H1003-Trades!I1003)))</f>
        <v/>
      </c>
      <c r="V1003" s="65" t="str">
        <f t="shared" si="123"/>
        <v/>
      </c>
      <c r="W1003" s="66" t="str">
        <f t="shared" si="124"/>
        <v/>
      </c>
      <c r="X1003" s="62" t="str">
        <f t="shared" si="125"/>
        <v/>
      </c>
      <c r="Y1003" s="45"/>
      <c r="Z1003" s="44"/>
      <c r="AA1003" s="41"/>
      <c r="AB1003" s="39"/>
      <c r="AC1003" s="37" t="str">
        <f t="shared" si="126"/>
        <v/>
      </c>
    </row>
    <row r="1004" spans="2:29" x14ac:dyDescent="0.25">
      <c r="B1004" s="54">
        <v>998</v>
      </c>
      <c r="C1004" s="168"/>
      <c r="D1004" s="51"/>
      <c r="E1004" s="29"/>
      <c r="F1004" s="48"/>
      <c r="G1004" s="29"/>
      <c r="H1004" s="187"/>
      <c r="I1004" s="187"/>
      <c r="J1004" s="195"/>
      <c r="K1004" s="86" t="str">
        <f t="shared" si="120"/>
        <v/>
      </c>
      <c r="L1004" s="57" t="str">
        <f t="shared" si="127"/>
        <v/>
      </c>
      <c r="M1004" s="186"/>
      <c r="N1004" s="189"/>
      <c r="O1004" s="190"/>
      <c r="P1004" s="190" t="str">
        <f>IF(OR(ISBLANK(V1004),COUNTBLANK(V1004:$V$1048576)=ROWS(V1004:$V$1048576)),"",$R$2*(1+SUM(V$7:V1004)))</f>
        <v/>
      </c>
      <c r="Q1004" s="191"/>
      <c r="R1004" s="189"/>
      <c r="S1004" s="53" t="str">
        <f t="shared" si="121"/>
        <v/>
      </c>
      <c r="T1004" s="63" t="str">
        <f t="shared" si="122"/>
        <v/>
      </c>
      <c r="U1004" s="64" t="str">
        <f>IF(OR(ISBLANK(Trades!R1004), ISBLANK(Trades!H1004), ISBLANK(Trades!I1004)), "", IF(Trades!H1004=Trades!I1004, "N/A", (Trades!R1004-Trades!H1004)/(Trades!H1004-Trades!I1004)))</f>
        <v/>
      </c>
      <c r="V1004" s="65" t="str">
        <f t="shared" si="123"/>
        <v/>
      </c>
      <c r="W1004" s="66" t="str">
        <f t="shared" si="124"/>
        <v/>
      </c>
      <c r="X1004" s="62" t="str">
        <f t="shared" si="125"/>
        <v/>
      </c>
      <c r="Y1004" s="45"/>
      <c r="Z1004" s="44"/>
      <c r="AA1004" s="41"/>
      <c r="AB1004" s="39"/>
      <c r="AC1004" s="37" t="str">
        <f t="shared" si="126"/>
        <v/>
      </c>
    </row>
    <row r="1005" spans="2:29" x14ac:dyDescent="0.25">
      <c r="B1005" s="54">
        <v>999</v>
      </c>
      <c r="C1005" s="168"/>
      <c r="D1005" s="51"/>
      <c r="E1005" s="29"/>
      <c r="F1005" s="48"/>
      <c r="G1005" s="29"/>
      <c r="H1005" s="187"/>
      <c r="I1005" s="187"/>
      <c r="J1005" s="195"/>
      <c r="K1005" s="86" t="str">
        <f t="shared" si="120"/>
        <v/>
      </c>
      <c r="L1005" s="57" t="str">
        <f t="shared" si="127"/>
        <v/>
      </c>
      <c r="M1005" s="186"/>
      <c r="N1005" s="189"/>
      <c r="O1005" s="190"/>
      <c r="P1005" s="190" t="str">
        <f>IF(OR(ISBLANK(V1005),COUNTBLANK(V1005:$V$1048576)=ROWS(V1005:$V$1048576)),"",$R$2*(1+SUM(V$7:V1005)))</f>
        <v/>
      </c>
      <c r="Q1005" s="191"/>
      <c r="R1005" s="189"/>
      <c r="S1005" s="53" t="str">
        <f t="shared" si="121"/>
        <v/>
      </c>
      <c r="T1005" s="63" t="str">
        <f t="shared" si="122"/>
        <v/>
      </c>
      <c r="U1005" s="64" t="str">
        <f>IF(OR(ISBLANK(Trades!R1005), ISBLANK(Trades!H1005), ISBLANK(Trades!I1005)), "", IF(Trades!H1005=Trades!I1005, "N/A", (Trades!R1005-Trades!H1005)/(Trades!H1005-Trades!I1005)))</f>
        <v/>
      </c>
      <c r="V1005" s="65" t="str">
        <f t="shared" si="123"/>
        <v/>
      </c>
      <c r="W1005" s="66" t="str">
        <f t="shared" si="124"/>
        <v/>
      </c>
      <c r="X1005" s="62" t="str">
        <f t="shared" si="125"/>
        <v/>
      </c>
      <c r="Y1005" s="45"/>
      <c r="Z1005" s="44"/>
      <c r="AA1005" s="41"/>
      <c r="AB1005" s="39"/>
      <c r="AC1005" s="37" t="str">
        <f t="shared" si="126"/>
        <v/>
      </c>
    </row>
    <row r="1006" spans="2:29" ht="15.75" customHeight="1" thickBot="1" x14ac:dyDescent="0.3">
      <c r="B1006" s="55">
        <v>1000</v>
      </c>
      <c r="C1006" s="168"/>
      <c r="D1006" s="52"/>
      <c r="E1006" s="40"/>
      <c r="F1006" s="48"/>
      <c r="G1006" s="29"/>
      <c r="H1006" s="187"/>
      <c r="I1006" s="187"/>
      <c r="J1006" s="196"/>
      <c r="K1006" s="87" t="str">
        <f t="shared" si="120"/>
        <v/>
      </c>
      <c r="L1006" s="58" t="str">
        <f t="shared" si="127"/>
        <v/>
      </c>
      <c r="M1006" s="186"/>
      <c r="N1006" s="192"/>
      <c r="O1006" s="193"/>
      <c r="P1006" s="193" t="str">
        <f>IF(OR(ISBLANK(V1006),COUNTBLANK(V1006:$V$1048576)=ROWS(V1006:$V$1048576)),"",$R$2*(1+SUM(V$7:V1006)))</f>
        <v/>
      </c>
      <c r="Q1006" s="194"/>
      <c r="R1006" s="192"/>
      <c r="S1006" s="53" t="str">
        <f t="shared" si="121"/>
        <v/>
      </c>
      <c r="T1006" s="67" t="str">
        <f t="shared" si="122"/>
        <v/>
      </c>
      <c r="U1006" s="68" t="str">
        <f>IF(OR(ISBLANK(Trades!R1006), ISBLANK(Trades!H1006), ISBLANK(Trades!I1006)), "", IF(Trades!H1006=Trades!I1006, "N/A", (Trades!R1006-Trades!H1006)/(Trades!H1006-Trades!I1006)))</f>
        <v/>
      </c>
      <c r="V1006" s="69" t="str">
        <f t="shared" si="123"/>
        <v/>
      </c>
      <c r="W1006" s="66" t="str">
        <f t="shared" si="124"/>
        <v/>
      </c>
      <c r="X1006" s="62" t="str">
        <f t="shared" si="125"/>
        <v/>
      </c>
      <c r="Y1006" s="46"/>
      <c r="Z1006" s="47"/>
      <c r="AA1006" s="42"/>
      <c r="AB1006" s="39"/>
      <c r="AC1006" s="37" t="str">
        <f t="shared" si="126"/>
        <v/>
      </c>
    </row>
    <row r="1007" spans="2:29" x14ac:dyDescent="0.25">
      <c r="AB1007" s="24"/>
      <c r="AC100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08" spans="2:29" x14ac:dyDescent="0.25">
      <c r="AB1008" s="24"/>
      <c r="AC1008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09" spans="28:29" x14ac:dyDescent="0.25">
      <c r="AB1009" s="24"/>
      <c r="AC1009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0" spans="28:29" x14ac:dyDescent="0.25">
      <c r="AB1010" s="24"/>
      <c r="AC1010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1" spans="28:29" x14ac:dyDescent="0.25">
      <c r="AB1011" s="24"/>
      <c r="AC1011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2" spans="28:29" x14ac:dyDescent="0.25">
      <c r="AB1012" s="24"/>
      <c r="AC1012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3" spans="28:29" x14ac:dyDescent="0.25">
      <c r="AB1013" s="24"/>
      <c r="AC1013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4" spans="28:29" x14ac:dyDescent="0.25">
      <c r="AB1014" s="24"/>
      <c r="AC1014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5" spans="28:29" x14ac:dyDescent="0.25">
      <c r="AB1015" s="24"/>
      <c r="AC1015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6" spans="28:29" x14ac:dyDescent="0.25">
      <c r="AB1016" s="24"/>
      <c r="AC1016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7" spans="28:29" x14ac:dyDescent="0.25">
      <c r="AB1017" s="24"/>
      <c r="AC101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8" spans="28:29" x14ac:dyDescent="0.25">
      <c r="AB1018" s="24"/>
      <c r="AC1018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19" spans="28:29" x14ac:dyDescent="0.25">
      <c r="AB1019" s="24"/>
      <c r="AC1019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0" spans="28:29" x14ac:dyDescent="0.25">
      <c r="AB1020" s="24"/>
      <c r="AC1020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1" spans="28:29" x14ac:dyDescent="0.25">
      <c r="AB1021" s="24"/>
      <c r="AC1021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2" spans="28:29" x14ac:dyDescent="0.25">
      <c r="AB1022" s="24"/>
      <c r="AC1022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3" spans="28:29" x14ac:dyDescent="0.25">
      <c r="AB1023" s="24"/>
      <c r="AC1023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4" spans="28:29" x14ac:dyDescent="0.25">
      <c r="AB1024" s="24"/>
      <c r="AC1024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5" spans="28:29" x14ac:dyDescent="0.25">
      <c r="AB1025" s="24"/>
      <c r="AC1025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6" spans="28:29" x14ac:dyDescent="0.25">
      <c r="AB1026" s="24"/>
      <c r="AC1026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7" spans="28:29" x14ac:dyDescent="0.25">
      <c r="AB1027" s="24"/>
      <c r="AC102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8" spans="28:29" x14ac:dyDescent="0.25">
      <c r="AB1028" s="24"/>
      <c r="AC1028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29" spans="28:29" x14ac:dyDescent="0.25">
      <c r="AB1029" s="24"/>
      <c r="AC1029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0" spans="28:29" x14ac:dyDescent="0.25">
      <c r="AB1030" s="24"/>
      <c r="AC1030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1" spans="28:29" x14ac:dyDescent="0.25">
      <c r="AB1031" s="24"/>
      <c r="AC1031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2" spans="28:29" x14ac:dyDescent="0.25">
      <c r="AB1032" s="24"/>
      <c r="AC1032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3" spans="28:29" x14ac:dyDescent="0.25">
      <c r="AB1033" s="24"/>
      <c r="AC1033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4" spans="28:29" x14ac:dyDescent="0.25">
      <c r="AB1034" s="24"/>
      <c r="AC1034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5" spans="28:29" x14ac:dyDescent="0.25">
      <c r="AB1035" s="24"/>
      <c r="AC1035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6" spans="28:29" x14ac:dyDescent="0.25">
      <c r="AB1036" s="24"/>
      <c r="AC1036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7" spans="28:29" x14ac:dyDescent="0.25">
      <c r="AB1037" s="24"/>
      <c r="AC103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8" spans="28:29" x14ac:dyDescent="0.25">
      <c r="AB1038" s="24"/>
      <c r="AC1038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39" spans="28:29" x14ac:dyDescent="0.25">
      <c r="AB1039" s="24"/>
      <c r="AC1039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0" spans="28:29" x14ac:dyDescent="0.25">
      <c r="AB1040" s="24"/>
      <c r="AC1040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1" spans="28:29" x14ac:dyDescent="0.25">
      <c r="AB1041" s="24"/>
      <c r="AC1041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2" spans="28:29" x14ac:dyDescent="0.25">
      <c r="AB1042" s="24"/>
      <c r="AC1042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3" spans="28:29" x14ac:dyDescent="0.25">
      <c r="AB1043" s="24"/>
      <c r="AC1043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4" spans="28:29" x14ac:dyDescent="0.25">
      <c r="AB1044" s="24"/>
      <c r="AC1044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5" spans="28:29" x14ac:dyDescent="0.25">
      <c r="AB1045" s="24"/>
      <c r="AC1045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6" spans="28:29" x14ac:dyDescent="0.25">
      <c r="AB1046" s="24"/>
      <c r="AC1046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7" spans="28:29" x14ac:dyDescent="0.25">
      <c r="AB1047" s="24"/>
      <c r="AC104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8" spans="28:29" x14ac:dyDescent="0.25">
      <c r="AB1048" s="24"/>
      <c r="AC1048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49" spans="28:29" x14ac:dyDescent="0.25">
      <c r="AB1049" s="24"/>
      <c r="AC1049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0" spans="28:29" x14ac:dyDescent="0.25">
      <c r="AB1050" s="24"/>
      <c r="AC1050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1" spans="28:29" x14ac:dyDescent="0.25">
      <c r="AB1051" s="24"/>
      <c r="AC1051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2" spans="28:29" x14ac:dyDescent="0.25">
      <c r="AB1052" s="24"/>
      <c r="AC1052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3" spans="28:29" x14ac:dyDescent="0.25">
      <c r="AB1053" s="24"/>
      <c r="AC1053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4" spans="28:29" x14ac:dyDescent="0.25">
      <c r="AB1054" s="24"/>
      <c r="AC1054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5" spans="28:29" x14ac:dyDescent="0.25">
      <c r="AB1055" s="24"/>
      <c r="AC1055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6" spans="28:29" x14ac:dyDescent="0.25">
      <c r="AB1056" s="24"/>
      <c r="AC1056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7" spans="28:29" x14ac:dyDescent="0.25">
      <c r="AB1057" s="24"/>
      <c r="AC105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8" spans="28:29" x14ac:dyDescent="0.25">
      <c r="AB1058" s="24"/>
      <c r="AC1058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59" spans="28:29" x14ac:dyDescent="0.25">
      <c r="AB1059" s="24"/>
      <c r="AC1059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0" spans="28:29" x14ac:dyDescent="0.25">
      <c r="AB1060" s="24"/>
      <c r="AC1060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1" spans="28:29" x14ac:dyDescent="0.25">
      <c r="AB1061" s="24"/>
      <c r="AC1061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2" spans="28:29" x14ac:dyDescent="0.25">
      <c r="AB1062" s="24"/>
      <c r="AC1062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3" spans="28:29" x14ac:dyDescent="0.25">
      <c r="AB1063" s="24"/>
      <c r="AC1063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4" spans="28:29" x14ac:dyDescent="0.25">
      <c r="AB1064" s="24"/>
      <c r="AC1064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5" spans="28:29" x14ac:dyDescent="0.25">
      <c r="AB1065" s="24"/>
      <c r="AC1065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6" spans="28:29" x14ac:dyDescent="0.25">
      <c r="AB1066" s="24"/>
      <c r="AC1066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7" spans="28:29" x14ac:dyDescent="0.25">
      <c r="AB1067" s="24"/>
      <c r="AC106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8" spans="28:29" x14ac:dyDescent="0.25">
      <c r="AB1068" s="24"/>
      <c r="AC1068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69" spans="28:29" x14ac:dyDescent="0.25">
      <c r="AB1069" s="24"/>
      <c r="AC1069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0" spans="28:29" x14ac:dyDescent="0.25">
      <c r="AB1070" s="24"/>
      <c r="AC1070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1" spans="28:29" x14ac:dyDescent="0.25">
      <c r="AB1071" s="24"/>
      <c r="AC1071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2" spans="28:29" x14ac:dyDescent="0.25">
      <c r="AB1072" s="24"/>
      <c r="AC1072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3" spans="28:29" x14ac:dyDescent="0.25">
      <c r="AB1073" s="24"/>
      <c r="AC1073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4" spans="28:29" x14ac:dyDescent="0.25">
      <c r="AB1074" s="24"/>
      <c r="AC1074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5" spans="28:29" x14ac:dyDescent="0.25">
      <c r="AB1075" s="24"/>
      <c r="AC1075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6" spans="28:29" x14ac:dyDescent="0.25">
      <c r="AB1076" s="24"/>
      <c r="AC1076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7" spans="28:29" x14ac:dyDescent="0.25">
      <c r="AB1077" s="24"/>
      <c r="AC107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8" spans="28:29" x14ac:dyDescent="0.25">
      <c r="AB1078" s="24"/>
      <c r="AC1078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79" spans="28:29" x14ac:dyDescent="0.25">
      <c r="AB1079" s="24"/>
      <c r="AC1079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80" spans="28:29" x14ac:dyDescent="0.25">
      <c r="AB1080" s="24"/>
      <c r="AC1080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81" spans="28:29" x14ac:dyDescent="0.25">
      <c r="AB1081" s="24"/>
      <c r="AC1081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82" spans="28:29" x14ac:dyDescent="0.25">
      <c r="AB1082" s="24"/>
      <c r="AC1082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83" spans="28:29" x14ac:dyDescent="0.25">
      <c r="AB1083" s="24"/>
      <c r="AC1083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84" spans="28:29" x14ac:dyDescent="0.25">
      <c r="AB1084" s="24"/>
      <c r="AC1084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85" spans="28:29" x14ac:dyDescent="0.25">
      <c r="AB1085" s="24"/>
      <c r="AC1085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86" spans="28:29" x14ac:dyDescent="0.25">
      <c r="AB1086" s="24"/>
      <c r="AC1086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  <row r="1087" spans="28:29" x14ac:dyDescent="0.25">
      <c r="AB1087" s="24"/>
      <c r="AC1087" s="37" t="str">
        <f>IFERROR(COUNTIFS($C$7:$C$1000,"&gt;="&amp;DATE(YEAR(#REF!),MONTH(#REF!),1),$C$7:$C$1000,"&lt;="&amp;EOMONTH(#REF!,0),$X$7:$X$1000,"Win")/COUNTIFS($C$7:$C$1000,"&gt;="&amp;DATE(YEAR(#REF!),MONTH(#REF!),1),$C$7:$C$1000,"&lt;="&amp;EOMONTH(#REF!,0)),"")</f>
        <v/>
      </c>
    </row>
  </sheetData>
  <mergeCells count="6">
    <mergeCell ref="M2:O2"/>
    <mergeCell ref="C5:L5"/>
    <mergeCell ref="M3:O3"/>
    <mergeCell ref="Y5:Z5"/>
    <mergeCell ref="T5:X5"/>
    <mergeCell ref="M5:Q5"/>
  </mergeCells>
  <conditionalFormatting sqref="K7:K1006">
    <cfRule type="expression" dxfId="15" priority="21">
      <formula>$K7="Short"</formula>
    </cfRule>
    <cfRule type="expression" dxfId="14" priority="22">
      <formula>$K7="Long"</formula>
    </cfRule>
  </conditionalFormatting>
  <conditionalFormatting sqref="L7:L1006">
    <cfRule type="cellIs" dxfId="13" priority="15" operator="between">
      <formula>0</formula>
      <formula>3.99</formula>
    </cfRule>
    <cfRule type="cellIs" dxfId="12" priority="16" operator="between">
      <formula>4</formula>
      <formula>9999999</formula>
    </cfRule>
  </conditionalFormatting>
  <conditionalFormatting sqref="T7:T1006">
    <cfRule type="expression" dxfId="11" priority="11" stopIfTrue="1">
      <formula>$T7="Closed"</formula>
    </cfRule>
    <cfRule type="expression" dxfId="10" priority="12">
      <formula>$T7="Open"</formula>
    </cfRule>
  </conditionalFormatting>
  <conditionalFormatting sqref="U7:U1006">
    <cfRule type="cellIs" dxfId="9" priority="1" operator="between">
      <formula>-9999</formula>
      <formula>3.99</formula>
    </cfRule>
    <cfRule type="cellIs" dxfId="8" priority="2" operator="between">
      <formula>4</formula>
      <formula>9999</formula>
    </cfRule>
  </conditionalFormatting>
  <conditionalFormatting sqref="V7:V1006">
    <cfRule type="cellIs" dxfId="7" priority="3" operator="between">
      <formula>0</formula>
      <formula>-9999</formula>
    </cfRule>
    <cfRule type="cellIs" dxfId="6" priority="4" operator="between">
      <formula>0</formula>
      <formula>9999</formula>
    </cfRule>
  </conditionalFormatting>
  <conditionalFormatting sqref="W7:W1006">
    <cfRule type="expression" dxfId="5" priority="5">
      <formula>$W7="SL Hit"</formula>
    </cfRule>
    <cfRule type="expression" dxfId="4" priority="6">
      <formula>$W7="PT3 Hit"</formula>
    </cfRule>
    <cfRule type="expression" dxfId="3" priority="7">
      <formula>$W7="PT2 Hit"</formula>
    </cfRule>
    <cfRule type="expression" dxfId="2" priority="8">
      <formula>$W7="PT1 Hit"</formula>
    </cfRule>
  </conditionalFormatting>
  <conditionalFormatting sqref="X7:X1006">
    <cfRule type="expression" dxfId="1" priority="9">
      <formula>$X7="Loss"</formula>
    </cfRule>
    <cfRule type="expression" dxfId="0" priority="10">
      <formula>$X7="Win"</formula>
    </cfRule>
  </conditionalFormatting>
  <dataValidations count="14">
    <dataValidation type="list" allowBlank="1" showInputMessage="1" showErrorMessage="1" sqref="L2:L3" xr:uid="{00000000-0002-0000-0300-000000000000}">
      <formula1>#REF!</formula1>
    </dataValidation>
    <dataValidation type="list" allowBlank="1" showInputMessage="1" showErrorMessage="1" sqref="J1:J3" xr:uid="{00000000-0002-0000-0300-000001000000}">
      <formula1>"Yes,No"</formula1>
    </dataValidation>
    <dataValidation type="list" allowBlank="1" showInputMessage="1" showErrorMessage="1" sqref="M1" xr:uid="{00000000-0002-0000-0300-000002000000}">
      <formula1>"1min,3min,15min,1h,4h,D,W,M"</formula1>
    </dataValidation>
    <dataValidation type="whole" allowBlank="1" showInputMessage="1" showErrorMessage="1" sqref="P7:P1006 R7:R1006" xr:uid="{00000000-0002-0000-0300-000003000000}">
      <formula1>0</formula1>
      <formula2>999999999</formula2>
    </dataValidation>
    <dataValidation type="list" allowBlank="1" showInputMessage="1" showErrorMessage="1" sqref="E7:E1006" xr:uid="{00000000-0002-0000-0300-000004000000}">
      <formula1>INDIRECT(SUBSTITUTE(D7," ","_"))</formula1>
    </dataValidation>
    <dataValidation type="custom" allowBlank="1" showInputMessage="1" showErrorMessage="1" errorTitle="Incorrect Input" error="If long, PT1 should be greater than entry_x000a_If short PT1 SHould be smaller than entry" sqref="J7:J1006" xr:uid="{00000000-0002-0000-0300-000005000000}">
      <formula1>IF(H7&gt;I7,AND(ISNUMBER(J7),J7&gt;H7),AND(ISNUMBER(J7),J7&lt;H7))</formula1>
    </dataValidation>
    <dataValidation type="decimal" allowBlank="1" showInputMessage="1" showErrorMessage="1" errorTitle="Incorrect Input" error="Only numbers greater than 0" sqref="H8:H1006" xr:uid="{00000000-0002-0000-0300-000006000000}">
      <formula1>0</formula1>
      <formula2>9999999</formula2>
    </dataValidation>
    <dataValidation type="custom" allowBlank="1" showInputMessage="1" showErrorMessage="1" errorTitle="Incorrect Input" error="Ensure that:_x000a_If long, PT2&gt;PT1_x000a_If short, PT2&lt;PT1" sqref="N8:N1006" xr:uid="{00000000-0002-0000-0300-000007000000}">
      <formula1>IF(H8&gt;I8,AND(ISNUMBER(N8),N8&gt;J8),AND(ISNUMBER(N8),N8&lt;J8))</formula1>
    </dataValidation>
    <dataValidation type="custom" allowBlank="1" showInputMessage="1" showErrorMessage="1" errorTitle="Incorrect Input" error="Ensure that_x000a_If long, PT3&gt;PT2_x000a_If short, PT3&lt;PT2" sqref="O8:O1006" xr:uid="{00000000-0002-0000-0300-000008000000}">
      <formula1>IF(H8&gt;I8,AND(ISNUMBER(O8),O8&gt;N8),AND(ISNUMBER(O8),O8&lt;N8))</formula1>
    </dataValidation>
    <dataValidation type="custom" allowBlank="1" showInputMessage="1" showErrorMessage="1" errorTitle="Incorrect Input" error="Ensure that_x000a_If Long, SL in profit &gt; Entry_x000a_If Short, Sl in profit &lt; Entry" sqref="Q8:Q1006" xr:uid="{00000000-0002-0000-0300-000009000000}">
      <formula1>IF(H8&gt;I8,AND(ISNUMBER(Q8),Q8&gt;H8),AND(ISNUMBER(Q8),Q8&lt;H8))</formula1>
    </dataValidation>
    <dataValidation type="decimal" allowBlank="1" showInputMessage="1" showErrorMessage="1" sqref="I8:I1006" xr:uid="{00000000-0002-0000-0300-00000A000000}">
      <formula1>0</formula1>
      <formula2>9999999</formula2>
    </dataValidation>
    <dataValidation type="list" allowBlank="1" showInputMessage="1" showErrorMessage="1" sqref="G7:G1006" xr:uid="{00000000-0002-0000-0300-00000B000000}">
      <formula1>NonBlankSettings</formula1>
    </dataValidation>
    <dataValidation type="list" allowBlank="1" showInputMessage="1" showErrorMessage="1" sqref="F7:F1006" xr:uid="{00000000-0002-0000-0300-00000C000000}">
      <formula1>Dynamicrisk</formula1>
    </dataValidation>
    <dataValidation type="decimal" allowBlank="1" showInputMessage="1" showErrorMessage="1" sqref="H7:I7 M7:M1006 N7:O7 Q7" xr:uid="{00000000-0002-0000-0300-00000D000000}">
      <formula1>0</formula1>
      <formula2>999999999</formula2>
    </dataValidation>
  </dataValidations>
  <hyperlinks>
    <hyperlink ref="R5" location="Tools!A1" display="Insert from calc." xr:uid="{00000000-0004-0000-0300-000000000000}"/>
  </hyperlink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6"/>
  <sheetViews>
    <sheetView workbookViewId="0">
      <selection activeCell="R8" sqref="R8"/>
    </sheetView>
  </sheetViews>
  <sheetFormatPr defaultColWidth="10.7109375" defaultRowHeight="15" x14ac:dyDescent="0.25"/>
  <cols>
    <col min="1" max="1" width="10.7109375" style="1" customWidth="1"/>
    <col min="2" max="2" width="6.28515625" style="1" customWidth="1"/>
    <col min="3" max="3" width="10.7109375" style="1" customWidth="1"/>
    <col min="4" max="4" width="19.28515625" style="1" customWidth="1"/>
    <col min="5" max="5" width="21.140625" style="1" customWidth="1"/>
    <col min="6" max="6" width="4.7109375" style="1" customWidth="1"/>
    <col min="7" max="13" width="10.7109375" style="1" customWidth="1"/>
    <col min="14" max="14" width="14.140625" style="1" customWidth="1"/>
    <col min="15" max="15" width="10.7109375" style="1" customWidth="1"/>
    <col min="16" max="16" width="13.7109375" style="1" bestFit="1" customWidth="1"/>
    <col min="17" max="17" width="12.28515625" style="1" bestFit="1" customWidth="1"/>
    <col min="18" max="18" width="16" style="1" customWidth="1"/>
    <col min="19" max="19" width="13.140625" style="1" bestFit="1" customWidth="1"/>
    <col min="20" max="20" width="14.42578125" style="1" customWidth="1"/>
    <col min="21" max="22" width="14.42578125" style="1" bestFit="1" customWidth="1"/>
    <col min="23" max="23" width="12.42578125" style="1" customWidth="1"/>
    <col min="24" max="24" width="12.140625" style="1" bestFit="1" customWidth="1"/>
    <col min="25" max="35" width="10.7109375" style="1" customWidth="1"/>
    <col min="36" max="16384" width="10.7109375" style="1"/>
  </cols>
  <sheetData>
    <row r="1" spans="2:24" x14ac:dyDescent="0.25">
      <c r="M1" s="27"/>
    </row>
    <row r="2" spans="2:24" x14ac:dyDescent="0.25">
      <c r="M2" s="27"/>
      <c r="S2" s="4"/>
      <c r="T2" s="4"/>
      <c r="U2" s="4"/>
      <c r="V2" s="4"/>
      <c r="W2" s="88"/>
    </row>
    <row r="3" spans="2:24" ht="23.25" customHeight="1" x14ac:dyDescent="0.35">
      <c r="B3" s="4"/>
      <c r="C3" s="4"/>
      <c r="D3" s="4"/>
      <c r="E3" s="4"/>
      <c r="F3" s="3"/>
      <c r="G3" s="2"/>
      <c r="I3" s="215" t="s">
        <v>97</v>
      </c>
      <c r="J3" s="213"/>
      <c r="K3" s="213"/>
      <c r="L3" s="213"/>
      <c r="M3" s="213"/>
      <c r="N3" s="213"/>
      <c r="O3" s="213"/>
      <c r="P3" s="213"/>
      <c r="Q3" s="213"/>
      <c r="S3" s="212" t="s">
        <v>98</v>
      </c>
      <c r="T3" s="213"/>
      <c r="U3" s="213"/>
      <c r="V3" s="213"/>
      <c r="W3" s="131"/>
      <c r="X3" s="132"/>
    </row>
    <row r="4" spans="2:24" ht="23.25" customHeight="1" x14ac:dyDescent="0.35">
      <c r="B4" s="5" t="s">
        <v>99</v>
      </c>
      <c r="C4" s="215" t="s">
        <v>99</v>
      </c>
      <c r="D4" s="213"/>
      <c r="E4" s="213"/>
      <c r="F4" s="4"/>
      <c r="I4" s="89"/>
      <c r="J4" s="94" t="s">
        <v>100</v>
      </c>
      <c r="K4" s="94" t="s">
        <v>101</v>
      </c>
      <c r="L4" s="94" t="s">
        <v>102</v>
      </c>
      <c r="M4" s="89"/>
      <c r="N4" s="89"/>
      <c r="O4" s="88"/>
      <c r="P4" s="88"/>
      <c r="Q4" s="88"/>
      <c r="S4" s="4"/>
      <c r="T4" s="4"/>
      <c r="U4" s="4"/>
      <c r="V4" s="4"/>
      <c r="W4" s="88"/>
    </row>
    <row r="5" spans="2:24" x14ac:dyDescent="0.25">
      <c r="B5" s="4"/>
      <c r="C5" s="4"/>
      <c r="D5" s="4"/>
      <c r="E5" s="4"/>
      <c r="F5" s="4"/>
      <c r="I5" s="94" t="s">
        <v>103</v>
      </c>
      <c r="J5" s="170">
        <v>0.4</v>
      </c>
      <c r="K5" s="170">
        <v>0.2</v>
      </c>
      <c r="L5" s="170">
        <v>0.2</v>
      </c>
      <c r="M5" s="88"/>
      <c r="N5" s="88"/>
      <c r="O5" s="88"/>
      <c r="P5" s="88"/>
      <c r="Q5" s="88"/>
      <c r="S5" s="126" t="s">
        <v>70</v>
      </c>
      <c r="T5" s="124" t="s">
        <v>104</v>
      </c>
      <c r="U5" s="124" t="s">
        <v>105</v>
      </c>
      <c r="V5" s="126" t="s">
        <v>106</v>
      </c>
      <c r="W5" s="127"/>
    </row>
    <row r="6" spans="2:24" x14ac:dyDescent="0.25">
      <c r="B6" s="4"/>
      <c r="C6" s="210" t="s">
        <v>107</v>
      </c>
      <c r="D6" s="211"/>
      <c r="E6" s="174">
        <v>1000</v>
      </c>
      <c r="F6" s="4"/>
      <c r="I6" s="96" t="s">
        <v>108</v>
      </c>
      <c r="J6" s="95" t="s">
        <v>109</v>
      </c>
      <c r="K6" s="95"/>
      <c r="L6" s="95"/>
      <c r="M6" s="216" t="s">
        <v>110</v>
      </c>
      <c r="N6" s="217"/>
      <c r="O6" s="218"/>
      <c r="P6" s="88"/>
      <c r="Q6" s="88"/>
      <c r="S6" s="124">
        <v>1</v>
      </c>
      <c r="T6" s="171">
        <v>10</v>
      </c>
      <c r="U6" s="172">
        <v>10</v>
      </c>
      <c r="V6" s="124">
        <f>IF(OR(U6=0,T6=0),"",SUM(T6*U6))</f>
        <v>100</v>
      </c>
      <c r="W6" s="4"/>
    </row>
    <row r="7" spans="2:24" x14ac:dyDescent="0.25">
      <c r="B7" s="4"/>
      <c r="C7" s="4"/>
      <c r="D7" s="4"/>
      <c r="E7" s="4"/>
      <c r="F7" s="4"/>
      <c r="I7" s="90" t="s">
        <v>70</v>
      </c>
      <c r="J7" s="90" t="s">
        <v>100</v>
      </c>
      <c r="K7" s="90" t="s">
        <v>101</v>
      </c>
      <c r="L7" s="90" t="s">
        <v>102</v>
      </c>
      <c r="M7" s="94" t="s">
        <v>100</v>
      </c>
      <c r="N7" s="94" t="s">
        <v>101</v>
      </c>
      <c r="O7" s="94" t="s">
        <v>102</v>
      </c>
      <c r="P7" s="90" t="s">
        <v>111</v>
      </c>
      <c r="Q7" s="90" t="s">
        <v>112</v>
      </c>
      <c r="S7" s="124">
        <v>2</v>
      </c>
      <c r="T7" s="171">
        <v>10.5</v>
      </c>
      <c r="U7" s="172">
        <v>20</v>
      </c>
      <c r="V7" s="124">
        <f>IF(OR(U7=0,T7=0),"",SUM(T7*U7))</f>
        <v>210</v>
      </c>
      <c r="W7" s="4"/>
    </row>
    <row r="8" spans="2:24" x14ac:dyDescent="0.25">
      <c r="B8" s="4"/>
      <c r="C8" s="210" t="s">
        <v>113</v>
      </c>
      <c r="D8" s="211"/>
      <c r="E8" s="175">
        <v>5.0000000000000001E-4</v>
      </c>
      <c r="F8" s="4"/>
      <c r="I8" s="169">
        <v>1</v>
      </c>
      <c r="J8" s="97">
        <f>IF(I8&lt;&gt;"", J$5, "")</f>
        <v>0.4</v>
      </c>
      <c r="K8" s="97">
        <f>IF(I8&lt;&gt;"", K$5, "")</f>
        <v>0.2</v>
      </c>
      <c r="L8" s="97">
        <f>IF(I8&lt;&gt;"", L$5, "")</f>
        <v>0.2</v>
      </c>
      <c r="M8" s="91">
        <f>IF(ISBLANK(I8),"",IF(INDEX(Trades!M:M,MATCH(I8,Trades!B:B,0))=0,"",INDEX(Trades!M:M,MATCH(I8,Trades!B:B,0))))</f>
        <v>18704</v>
      </c>
      <c r="N8" s="92" t="str">
        <f>IF(ISBLANK(I8),"",IF(INDEX(Trades!N:N,MATCH(I8,Trades!B:B,0))=0,"",INDEX(Trades!N:N,MATCH(I8,Trades!B:B,0))))</f>
        <v/>
      </c>
      <c r="O8" s="91" t="str">
        <f>IF(ISBLANK(I8),"",IF(INDEX(Trades!O:O,MATCH(I8,Trades!B:B))=0,"",INDEX(Trades!O:O,MATCH(I8,Trades!B:B))))</f>
        <v/>
      </c>
      <c r="P8" s="93">
        <f>IF(ISBLANK(I8),"",INDEX(Trades!Q:Q,MATCH(I8,Trades!B:B,0)))</f>
        <v>0</v>
      </c>
      <c r="Q8" s="178">
        <f>IF(O8="", IF(N8="", IF(M8="", P8, J8*M8+(1-J8)*P8), J8*M8+K8*N8+(1-J8-K8)*P8), J8*M8+K8*N8+L8*O8+(1-J8-K8-L8)*P8)</f>
        <v>7481.6</v>
      </c>
      <c r="S8" s="124">
        <v>3</v>
      </c>
      <c r="T8" s="171">
        <v>11</v>
      </c>
      <c r="U8" s="172">
        <v>40</v>
      </c>
      <c r="V8" s="124">
        <f>IF(OR(U8=0,T8=0),"",SUM(T8*U8))</f>
        <v>440</v>
      </c>
      <c r="W8" s="4"/>
    </row>
    <row r="9" spans="2:24" x14ac:dyDescent="0.25">
      <c r="B9" s="4"/>
      <c r="C9" s="4"/>
      <c r="D9" s="4"/>
      <c r="E9" s="4"/>
      <c r="F9" s="4"/>
      <c r="I9" s="163"/>
      <c r="J9" s="164"/>
      <c r="K9" s="164"/>
      <c r="L9" s="164"/>
      <c r="M9" s="165"/>
      <c r="N9" s="166"/>
      <c r="O9" s="165"/>
      <c r="P9" s="167"/>
      <c r="Q9" s="167"/>
      <c r="S9" s="124">
        <v>4</v>
      </c>
      <c r="T9" s="171">
        <v>11.5</v>
      </c>
      <c r="U9" s="172">
        <v>80</v>
      </c>
      <c r="V9" s="124">
        <f>IF(OR(U9=0,T9=0),"",SUM(T9*U9))</f>
        <v>920</v>
      </c>
      <c r="W9" s="4"/>
    </row>
    <row r="10" spans="2:24" x14ac:dyDescent="0.25">
      <c r="B10" s="4"/>
      <c r="C10" s="210" t="s">
        <v>4</v>
      </c>
      <c r="D10" s="211"/>
      <c r="E10" s="176">
        <v>500</v>
      </c>
      <c r="F10" s="4"/>
      <c r="I10" s="163"/>
      <c r="J10" s="164"/>
      <c r="K10" s="164"/>
      <c r="L10" s="164"/>
      <c r="M10" s="165"/>
      <c r="N10" s="166"/>
      <c r="O10" s="165"/>
      <c r="P10" s="167"/>
      <c r="Q10" s="167"/>
      <c r="S10" s="124">
        <v>5</v>
      </c>
      <c r="T10" s="172">
        <v>12</v>
      </c>
      <c r="U10" s="172">
        <v>100</v>
      </c>
      <c r="V10" s="124">
        <f>IF(OR(U10=0,T10=0),"",SUM(T10*U10))</f>
        <v>1200</v>
      </c>
      <c r="W10" s="4"/>
    </row>
    <row r="11" spans="2:24" x14ac:dyDescent="0.25">
      <c r="B11" s="4"/>
      <c r="C11" s="4"/>
      <c r="D11" s="4"/>
      <c r="E11" s="4"/>
      <c r="F11" s="4"/>
      <c r="I11" s="214" t="s">
        <v>114</v>
      </c>
      <c r="J11" s="213"/>
      <c r="K11" s="213"/>
      <c r="L11" s="213"/>
      <c r="M11" s="213"/>
      <c r="N11" s="213"/>
      <c r="O11" s="213"/>
      <c r="P11" s="213"/>
      <c r="Q11" s="213"/>
      <c r="S11" s="126" t="s">
        <v>115</v>
      </c>
      <c r="T11" s="129" t="s">
        <v>116</v>
      </c>
      <c r="U11" s="130">
        <f>IF(OR(U6=0),"",SUM(U6:U10))</f>
        <v>250</v>
      </c>
      <c r="V11" s="130">
        <f>IF(OR(V6=0),"",SUM(V6:V10))</f>
        <v>2870</v>
      </c>
      <c r="W11" s="4"/>
    </row>
    <row r="12" spans="2:24" x14ac:dyDescent="0.25">
      <c r="B12" s="4"/>
      <c r="C12" s="210" t="s">
        <v>8</v>
      </c>
      <c r="D12" s="211"/>
      <c r="E12" s="176">
        <v>450</v>
      </c>
      <c r="F12" s="4"/>
      <c r="I12" s="213"/>
      <c r="J12" s="213"/>
      <c r="K12" s="213"/>
      <c r="L12" s="213"/>
      <c r="M12" s="213"/>
      <c r="N12" s="213"/>
      <c r="O12" s="213"/>
      <c r="P12" s="213"/>
      <c r="Q12" s="213"/>
      <c r="S12" s="126" t="s">
        <v>117</v>
      </c>
      <c r="T12" s="179">
        <f>IF(OR(U11=0,V11=0),"",SUM(V11/U11))</f>
        <v>11.48</v>
      </c>
      <c r="U12" s="4"/>
      <c r="V12" s="4"/>
      <c r="W12" s="4"/>
    </row>
    <row r="13" spans="2:24" x14ac:dyDescent="0.25">
      <c r="B13" s="4"/>
      <c r="C13" s="4"/>
      <c r="D13" s="4"/>
      <c r="E13" s="4"/>
      <c r="F13" s="4"/>
      <c r="I13" s="213"/>
      <c r="J13" s="213"/>
      <c r="K13" s="213"/>
      <c r="L13" s="213"/>
      <c r="M13" s="213"/>
      <c r="N13" s="213"/>
      <c r="O13" s="213"/>
      <c r="P13" s="213"/>
      <c r="Q13" s="213"/>
      <c r="S13" s="4"/>
      <c r="T13" s="4"/>
      <c r="U13" s="4"/>
      <c r="V13" s="4"/>
      <c r="W13" s="4"/>
    </row>
    <row r="14" spans="2:24" x14ac:dyDescent="0.25">
      <c r="B14" s="4"/>
      <c r="C14" s="210" t="s">
        <v>118</v>
      </c>
      <c r="D14" s="211"/>
      <c r="E14" s="98">
        <f>E6*E8*100</f>
        <v>50</v>
      </c>
      <c r="F14" s="4"/>
      <c r="I14" s="213"/>
      <c r="J14" s="213"/>
      <c r="K14" s="213"/>
      <c r="L14" s="213"/>
      <c r="M14" s="213"/>
      <c r="N14" s="213"/>
      <c r="O14" s="213"/>
      <c r="P14" s="213"/>
      <c r="Q14" s="213"/>
    </row>
    <row r="15" spans="2:24" x14ac:dyDescent="0.25">
      <c r="B15" s="4"/>
      <c r="C15" s="4"/>
      <c r="D15" s="4"/>
      <c r="E15" s="4"/>
      <c r="F15" s="4"/>
      <c r="I15" s="163"/>
      <c r="J15" s="164"/>
      <c r="K15" s="164"/>
      <c r="L15" s="164"/>
      <c r="M15" s="165"/>
      <c r="N15" s="166"/>
      <c r="O15" s="165"/>
      <c r="P15" s="167"/>
      <c r="Q15" s="167"/>
    </row>
    <row r="16" spans="2:24" ht="18" customHeight="1" x14ac:dyDescent="0.25">
      <c r="B16" s="4"/>
      <c r="C16" s="210" t="s">
        <v>119</v>
      </c>
      <c r="D16" s="211"/>
      <c r="E16" s="99">
        <f>(E8*E6)/ABS(E10-E12)</f>
        <v>0.01</v>
      </c>
      <c r="F16" s="4"/>
      <c r="I16" s="214" t="s">
        <v>120</v>
      </c>
      <c r="J16" s="213"/>
      <c r="K16" s="213"/>
      <c r="L16" s="213"/>
      <c r="M16" s="213"/>
      <c r="N16" s="213"/>
      <c r="O16" s="213"/>
      <c r="P16" s="213"/>
      <c r="Q16" s="213"/>
    </row>
    <row r="17" spans="1:24" x14ac:dyDescent="0.25">
      <c r="B17" s="4"/>
      <c r="C17" s="4"/>
      <c r="D17" s="4"/>
      <c r="E17" s="4"/>
      <c r="F17" s="4"/>
      <c r="I17" s="213"/>
      <c r="J17" s="213"/>
      <c r="K17" s="213"/>
      <c r="L17" s="213"/>
      <c r="M17" s="213"/>
      <c r="N17" s="213"/>
      <c r="O17" s="213"/>
      <c r="P17" s="213"/>
      <c r="Q17" s="213"/>
    </row>
    <row r="18" spans="1:24" x14ac:dyDescent="0.25">
      <c r="B18" s="4"/>
      <c r="C18" s="4"/>
      <c r="D18" s="4"/>
      <c r="E18" s="4"/>
      <c r="F18" s="4"/>
      <c r="I18" s="213"/>
      <c r="J18" s="213"/>
      <c r="K18" s="213"/>
      <c r="L18" s="213"/>
      <c r="M18" s="213"/>
      <c r="N18" s="213"/>
      <c r="O18" s="213"/>
      <c r="P18" s="213"/>
      <c r="Q18" s="213"/>
    </row>
    <row r="19" spans="1:24" ht="23.25" customHeight="1" x14ac:dyDescent="0.35">
      <c r="B19" s="4"/>
      <c r="C19" s="4"/>
      <c r="D19" s="4"/>
      <c r="E19" s="4"/>
      <c r="F19" s="4"/>
      <c r="I19" s="163"/>
      <c r="J19" s="164"/>
      <c r="K19" s="164"/>
      <c r="L19" s="164"/>
      <c r="M19" s="165"/>
      <c r="N19" s="166"/>
      <c r="O19" s="165"/>
      <c r="P19" s="167"/>
      <c r="Q19" s="167"/>
      <c r="S19" s="212" t="s">
        <v>121</v>
      </c>
      <c r="T19" s="213"/>
      <c r="U19" s="213"/>
      <c r="V19" s="132"/>
      <c r="W19" s="132"/>
      <c r="X19" s="128"/>
    </row>
    <row r="20" spans="1:24" x14ac:dyDescent="0.25">
      <c r="B20" s="4"/>
      <c r="C20" s="4"/>
      <c r="D20" s="4"/>
      <c r="E20" s="4"/>
      <c r="F20" s="4"/>
      <c r="I20" s="163"/>
      <c r="J20" s="164"/>
      <c r="K20" s="164"/>
      <c r="L20" s="164"/>
      <c r="M20" s="165"/>
      <c r="N20" s="166"/>
      <c r="O20" s="165"/>
      <c r="P20" s="167"/>
      <c r="Q20" s="167"/>
      <c r="S20" s="4"/>
      <c r="T20" s="4"/>
      <c r="U20" s="4"/>
    </row>
    <row r="21" spans="1:24" x14ac:dyDescent="0.25">
      <c r="I21" s="163"/>
      <c r="J21" s="164"/>
      <c r="K21" s="164"/>
      <c r="L21" s="164"/>
      <c r="M21" s="165"/>
      <c r="N21" s="166"/>
      <c r="O21" s="165"/>
      <c r="P21" s="167"/>
      <c r="Q21" s="167"/>
      <c r="R21" s="27"/>
      <c r="S21" s="124" t="s">
        <v>70</v>
      </c>
      <c r="T21" s="124" t="s">
        <v>105</v>
      </c>
      <c r="U21" s="124" t="s">
        <v>106</v>
      </c>
      <c r="V21" s="133"/>
    </row>
    <row r="22" spans="1:24" x14ac:dyDescent="0.25">
      <c r="I22" s="163"/>
      <c r="J22" s="164"/>
      <c r="K22" s="164"/>
      <c r="L22" s="164"/>
      <c r="M22" s="165"/>
      <c r="N22" s="166"/>
      <c r="O22" s="165"/>
      <c r="P22" s="167"/>
      <c r="Q22" s="167"/>
      <c r="R22" s="27"/>
      <c r="S22" s="124">
        <v>1</v>
      </c>
      <c r="T22" s="173">
        <v>10</v>
      </c>
      <c r="U22" s="173">
        <v>100</v>
      </c>
    </row>
    <row r="23" spans="1:24" x14ac:dyDescent="0.25">
      <c r="M23" s="27"/>
      <c r="N23" s="27"/>
      <c r="O23" s="27"/>
      <c r="P23" s="27"/>
      <c r="Q23" s="27"/>
      <c r="R23" s="27"/>
      <c r="S23" s="124">
        <v>2</v>
      </c>
      <c r="T23" s="173">
        <v>20</v>
      </c>
      <c r="U23" s="173">
        <v>210</v>
      </c>
    </row>
    <row r="24" spans="1:24" x14ac:dyDescent="0.25">
      <c r="M24" s="27"/>
      <c r="N24" s="27"/>
      <c r="O24" s="27"/>
      <c r="P24" s="27"/>
      <c r="Q24" s="27"/>
      <c r="R24" s="27"/>
      <c r="S24" s="124">
        <v>3</v>
      </c>
      <c r="T24" s="173">
        <v>40</v>
      </c>
      <c r="U24" s="173">
        <v>440</v>
      </c>
    </row>
    <row r="25" spans="1:24" x14ac:dyDescent="0.25">
      <c r="M25" s="27"/>
      <c r="N25" s="27"/>
      <c r="O25" s="27"/>
      <c r="P25" s="27"/>
      <c r="Q25" s="27"/>
      <c r="R25" s="27"/>
      <c r="S25" s="124">
        <v>4</v>
      </c>
      <c r="T25" s="173">
        <v>80</v>
      </c>
      <c r="U25" s="173">
        <v>920</v>
      </c>
    </row>
    <row r="26" spans="1:24" x14ac:dyDescent="0.25">
      <c r="A26" s="27"/>
      <c r="B26" s="27"/>
      <c r="C26" s="27"/>
      <c r="D26" s="27"/>
      <c r="E26" s="27"/>
      <c r="F26" s="27"/>
      <c r="G26" s="27"/>
      <c r="H26" s="27"/>
      <c r="I26" s="27"/>
      <c r="M26" s="27"/>
      <c r="N26" s="27"/>
      <c r="O26" s="27"/>
      <c r="P26" s="27"/>
      <c r="Q26" s="27"/>
      <c r="R26" s="27"/>
      <c r="S26" s="124">
        <v>5</v>
      </c>
      <c r="T26" s="173">
        <v>100</v>
      </c>
      <c r="U26" s="173">
        <v>1200</v>
      </c>
    </row>
    <row r="27" spans="1:24" x14ac:dyDescent="0.25">
      <c r="A27" s="27"/>
      <c r="B27" s="28"/>
      <c r="C27" s="28"/>
      <c r="D27" s="28"/>
      <c r="E27" s="27"/>
      <c r="F27" s="27"/>
      <c r="G27" s="27"/>
      <c r="H27" s="27"/>
      <c r="I27" s="27"/>
      <c r="M27" s="27"/>
      <c r="N27" s="27"/>
      <c r="O27" s="27"/>
      <c r="P27" s="27"/>
      <c r="Q27" s="27"/>
      <c r="R27" s="27"/>
      <c r="S27" s="126" t="s">
        <v>117</v>
      </c>
      <c r="T27" s="180">
        <f>IF(OR(T22=0,U22=0)," ",((SUM(U22:U26)/(SUM(T22:T26)))))</f>
        <v>11.48</v>
      </c>
      <c r="U27" s="125"/>
    </row>
    <row r="28" spans="1:24" x14ac:dyDescent="0.25">
      <c r="M28" s="27"/>
      <c r="N28" s="27"/>
      <c r="O28" s="27"/>
      <c r="P28" s="27"/>
      <c r="Q28" s="27"/>
      <c r="R28" s="27"/>
      <c r="S28" s="4"/>
      <c r="T28" s="4"/>
      <c r="U28" s="4"/>
      <c r="V28" s="27"/>
      <c r="W28" s="27"/>
    </row>
    <row r="29" spans="1:24" x14ac:dyDescent="0.25">
      <c r="M29" s="27"/>
      <c r="N29" s="27"/>
      <c r="O29" s="27"/>
      <c r="P29" s="27"/>
      <c r="Q29" s="27"/>
      <c r="R29" s="27"/>
      <c r="S29" s="88"/>
      <c r="T29" s="88"/>
      <c r="U29" s="88"/>
      <c r="W29" s="133"/>
    </row>
    <row r="30" spans="1:24" x14ac:dyDescent="0.25"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4" x14ac:dyDescent="0.25">
      <c r="M31" s="27"/>
      <c r="N31" s="27"/>
      <c r="O31" s="27"/>
      <c r="P31" s="27"/>
      <c r="Q31" s="27"/>
      <c r="R31" s="27"/>
      <c r="S31" s="27"/>
      <c r="T31" s="27"/>
      <c r="V31" s="27"/>
      <c r="W31" s="27"/>
    </row>
    <row r="32" spans="1:24" x14ac:dyDescent="0.25"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3:23" x14ac:dyDescent="0.25"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3:23" x14ac:dyDescent="0.25">
      <c r="M34" s="27"/>
      <c r="N34" s="27"/>
      <c r="O34" s="27"/>
      <c r="P34" s="27"/>
      <c r="Q34" s="27"/>
      <c r="T34" s="27"/>
      <c r="U34" s="27"/>
      <c r="V34" s="27"/>
      <c r="W34" s="27"/>
    </row>
    <row r="35" spans="13:23" x14ac:dyDescent="0.25">
      <c r="M35" s="27"/>
      <c r="N35" s="27"/>
      <c r="O35" s="27"/>
      <c r="P35" s="27"/>
      <c r="Q35" s="27"/>
      <c r="R35" s="27"/>
      <c r="S35" s="134"/>
      <c r="T35" s="27"/>
      <c r="U35" s="27"/>
      <c r="V35" s="27"/>
      <c r="W35" s="27"/>
    </row>
    <row r="36" spans="13:23" x14ac:dyDescent="0.25">
      <c r="M36" s="27"/>
      <c r="N36" s="27"/>
      <c r="O36" s="27"/>
      <c r="P36" s="27"/>
      <c r="Q36" s="27"/>
      <c r="S36" s="27"/>
      <c r="T36" s="27"/>
      <c r="U36" s="27"/>
      <c r="V36" s="27"/>
      <c r="W36" s="27"/>
    </row>
  </sheetData>
  <sheetProtection sheet="1" objects="1" scenarios="1" selectLockedCells="1"/>
  <mergeCells count="13">
    <mergeCell ref="C12:D12"/>
    <mergeCell ref="S19:U19"/>
    <mergeCell ref="C6:D6"/>
    <mergeCell ref="S3:V3"/>
    <mergeCell ref="I11:Q14"/>
    <mergeCell ref="C10:D10"/>
    <mergeCell ref="C16:D16"/>
    <mergeCell ref="C4:E4"/>
    <mergeCell ref="C14:D14"/>
    <mergeCell ref="I3:Q3"/>
    <mergeCell ref="M6:O6"/>
    <mergeCell ref="C8:D8"/>
    <mergeCell ref="I16:Q18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52"/>
  <sheetViews>
    <sheetView topLeftCell="A15" zoomScaleNormal="100" workbookViewId="0">
      <selection activeCell="R8" sqref="R8"/>
    </sheetView>
  </sheetViews>
  <sheetFormatPr defaultColWidth="10.7109375" defaultRowHeight="15" x14ac:dyDescent="0.25"/>
  <cols>
    <col min="1" max="5" width="10.7109375" style="100" customWidth="1"/>
    <col min="6" max="6" width="20.42578125" style="100" bestFit="1" customWidth="1"/>
    <col min="7" max="17" width="10.7109375" style="100" customWidth="1"/>
    <col min="18" max="16384" width="10.7109375" style="100"/>
  </cols>
  <sheetData>
    <row r="1" spans="2:20" x14ac:dyDescent="0.25">
      <c r="B1" s="228" t="s">
        <v>122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</row>
    <row r="2" spans="2:20" x14ac:dyDescent="0.25"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</row>
    <row r="4" spans="2:20" ht="16.5" customHeight="1" thickBot="1" x14ac:dyDescent="0.3">
      <c r="B4" s="219"/>
      <c r="C4" s="220"/>
      <c r="D4" s="151"/>
      <c r="E4" s="219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</row>
    <row r="5" spans="2:20" ht="15.75" customHeight="1" x14ac:dyDescent="0.25">
      <c r="B5" s="141"/>
      <c r="C5" s="140"/>
      <c r="D5" s="101" t="s">
        <v>123</v>
      </c>
      <c r="E5" s="144" t="s">
        <v>124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5"/>
    </row>
    <row r="6" spans="2:20" ht="16.5" customHeight="1" thickBot="1" x14ac:dyDescent="0.3">
      <c r="B6" s="102"/>
      <c r="C6" s="103"/>
      <c r="D6" s="121">
        <v>2023</v>
      </c>
      <c r="E6" s="123" t="s">
        <v>125</v>
      </c>
      <c r="F6" s="123" t="s">
        <v>126</v>
      </c>
      <c r="G6" s="123" t="s">
        <v>127</v>
      </c>
      <c r="H6" s="123" t="s">
        <v>128</v>
      </c>
      <c r="I6" s="123" t="s">
        <v>129</v>
      </c>
      <c r="J6" s="123" t="s">
        <v>130</v>
      </c>
      <c r="K6" s="123" t="s">
        <v>131</v>
      </c>
      <c r="L6" s="123" t="s">
        <v>132</v>
      </c>
      <c r="M6" s="123" t="s">
        <v>133</v>
      </c>
      <c r="N6" s="123" t="s">
        <v>134</v>
      </c>
      <c r="O6" s="123" t="s">
        <v>135</v>
      </c>
      <c r="P6" s="122" t="s">
        <v>136</v>
      </c>
    </row>
    <row r="7" spans="2:20" ht="15.75" customHeight="1" x14ac:dyDescent="0.25">
      <c r="B7" s="221" t="s">
        <v>137</v>
      </c>
      <c r="C7" s="223"/>
      <c r="D7" s="114">
        <f>COUNTIFS(Trades!B:B, "&lt;&gt;", Trades!C:C, "&gt;=01/01/2023", Trades!C:C, "&lt;=31/12/2023")</f>
        <v>0</v>
      </c>
      <c r="E7" s="104">
        <f>COUNTIFS(Trades!B:B, "&lt;&gt;",Trades!C:C, "&gt;=01/01/2023", Trades!C:C, "&lt;=31/01/2023")</f>
        <v>0</v>
      </c>
      <c r="F7" s="104">
        <f>COUNTIFS(Trades!B:B, "&lt;&gt;",Trades!C:C, "&gt;=01/02/2023", Trades!C:C, "&lt;=28/02/2023")</f>
        <v>0</v>
      </c>
      <c r="G7" s="104">
        <f>COUNTIFS(Trades!B:B, "&lt;&gt;",Trades!C:C, "&gt;=01/03/2023", Trades!C:C, "&lt;=31/03/2023")</f>
        <v>0</v>
      </c>
      <c r="H7" s="104">
        <f>COUNTIFS(Trades!B:B, "&lt;&gt;",Trades!C:C, "&gt;=01/04/2023", Trades!C:C, "&lt;=30/04/2023")</f>
        <v>0</v>
      </c>
      <c r="I7" s="104">
        <f>COUNTIFS(Trades!B:B, "&lt;&gt;",Trades!C:C, "&gt;=01/05/2023", Trades!C:C, "&lt;=31/05/2023")</f>
        <v>0</v>
      </c>
      <c r="J7" s="104">
        <f>COUNTIFS(Trades!B:B, "&lt;&gt;",Trades!C:C, "&gt;=01/06/2023", Trades!C:C, "&lt;=30/06/2023")</f>
        <v>0</v>
      </c>
      <c r="K7" s="104">
        <f>COUNTIFS(Trades!B:B, "&lt;&gt;",Trades!C:C, "&gt;=01/07/2023", Trades!C:C, "&lt;=31/07/2023")</f>
        <v>0</v>
      </c>
      <c r="L7" s="104">
        <f>COUNTIFS(Trades!B:B, "&lt;&gt;",Trades!C:C, "&gt;=01/08/2023", Trades!C:C, "&lt;=31/08/2023")</f>
        <v>0</v>
      </c>
      <c r="M7" s="104">
        <f>COUNTIFS(Trades!B:B, "&lt;&gt;",Trades!C:C, "&gt;=01/09/2023", Trades!C:C, "&lt;=30/09/2023")</f>
        <v>0</v>
      </c>
      <c r="N7" s="104">
        <f>COUNTIFS(Trades!B:B, "&lt;&gt;",Trades!C:C, "&gt;=01/10/2023", Trades!C:C, "&lt;=31/10/2023")</f>
        <v>0</v>
      </c>
      <c r="O7" s="104">
        <f>COUNTIFS(Trades!B:B, "&lt;&gt;",Trades!C:C, "&gt;=01/11/2023", Trades!C:C, "&lt;=30/11/2023")</f>
        <v>0</v>
      </c>
      <c r="P7" s="105">
        <f>COUNTIFS(Trades!B:B, "&lt;&gt;",Trades!C:C, "&gt;=01/12/2023", Trades!C:C, "&lt;=31/12/2023")</f>
        <v>0</v>
      </c>
    </row>
    <row r="8" spans="2:20" ht="15.75" customHeight="1" x14ac:dyDescent="0.25">
      <c r="B8" s="224" t="s">
        <v>138</v>
      </c>
      <c r="C8" s="225"/>
      <c r="D8" s="115">
        <f>COUNTIFS(Trades!K:K, "LONG", Trades!C:C, "&gt;=01/01/2023", Trades!C:C, "&lt;=31/12/2023")</f>
        <v>0</v>
      </c>
      <c r="E8" s="106">
        <f>COUNTIFS(Trades!K:K, "long",Trades!C:C, "&gt;=01/01/2023", Trades!C:C, "&lt;=31/01/2023")</f>
        <v>0</v>
      </c>
      <c r="F8" s="106">
        <f>COUNTIFS(Trades!K:K, "long",Trades!C:C, "&gt;=01/02/2023", Trades!C:C, "&lt;=28/02/2023")</f>
        <v>0</v>
      </c>
      <c r="G8" s="107">
        <f>COUNTIFS(Trades!K:K, "long",Trades!C:C, "&gt;=01/03/2023", Trades!C:C, "&lt;=31/03/2023")</f>
        <v>0</v>
      </c>
      <c r="H8" s="106">
        <f>COUNTIFS(Trades!K:K, "long",Trades!C:C, "&gt;=01/04/2023", Trades!C:C, "&lt;=30/04/2023")</f>
        <v>0</v>
      </c>
      <c r="I8" s="106">
        <f>COUNTIFS(Trades!K:K, "long",Trades!C:C, "&gt;=01/05/2023", Trades!C:C, "&lt;=31/05/2023")</f>
        <v>0</v>
      </c>
      <c r="J8" s="106">
        <f>COUNTIFS(Trades!K:K, "long",Trades!C:C, "&gt;=01/06/2023", Trades!C:C, "&lt;=30/06/2023")</f>
        <v>0</v>
      </c>
      <c r="K8" s="106">
        <f>COUNTIFS(Trades!K:K, "long",Trades!C:C, "&gt;=01/07/2023", Trades!C:C, "&lt;=31/07/2023")</f>
        <v>0</v>
      </c>
      <c r="L8" s="106">
        <f>COUNTIFS(Trades!K:K, "long",Trades!C:C, "&gt;=01/08/2023", Trades!C:C, "&lt;=31/08/2023")</f>
        <v>0</v>
      </c>
      <c r="M8" s="106">
        <f>COUNTIFS(Trades!K:K, "long",Trades!C:C, "&gt;=01/09/2023", Trades!C:C, "&lt;=30/09/2023")</f>
        <v>0</v>
      </c>
      <c r="N8" s="106">
        <f>COUNTIFS(Trades!K:K, "long",Trades!C:C, "&gt;=01/10/2023", Trades!C:C, "&lt;=31/10/2023")</f>
        <v>0</v>
      </c>
      <c r="O8" s="106">
        <f>COUNTIFS(Trades!K:K, "long",Trades!C:C, "&gt;=01/11/2023", Trades!C:C, "&lt;=30/11/2023")</f>
        <v>0</v>
      </c>
      <c r="P8" s="108">
        <f>COUNTIFS(Trades!K:K, "long",Trades!C:C, "&gt;=01/12/2023", Trades!C:C, "&lt;=31/12/2023")</f>
        <v>0</v>
      </c>
    </row>
    <row r="9" spans="2:20" ht="15.75" customHeight="1" x14ac:dyDescent="0.25">
      <c r="B9" s="224" t="s">
        <v>139</v>
      </c>
      <c r="C9" s="225"/>
      <c r="D9" s="115">
        <f>COUNTIFS(Trades!K:K, "short", Trades!C:C, "&gt;=01/01/2023", Trades!C:C, "&lt;=31/12/2023")</f>
        <v>0</v>
      </c>
      <c r="E9" s="106">
        <f>COUNTIFS(Trades!K:K, "short",Trades!C:C, "&gt;=01/01/2023", Trades!C:C, "&lt;=31/01/2023")</f>
        <v>0</v>
      </c>
      <c r="F9" s="106">
        <f>COUNTIFS(Trades!K:K, "short",Trades!C:C, "&gt;=01/02/2023", Trades!C:C, "&lt;=28/02/2023")</f>
        <v>0</v>
      </c>
      <c r="G9" s="106">
        <f>COUNTIFS(Trades!K:K, "short",Trades!C:C, "&gt;=01/03/2023", Trades!C:C, "&lt;=31/03/2023")</f>
        <v>0</v>
      </c>
      <c r="H9" s="107">
        <f>COUNTIFS(Trades!K:K, "short",Trades!C:C, "&gt;=01/04/2023", Trades!C:C, "&lt;=30/04/2023")</f>
        <v>0</v>
      </c>
      <c r="I9" s="106">
        <f>COUNTIFS(Trades!K:K, "short",Trades!C:C, "&gt;=01/05/2023", Trades!C:C, "&lt;=31/05/2023")</f>
        <v>0</v>
      </c>
      <c r="J9" s="106">
        <f>COUNTIFS(Trades!K:K, "short",Trades!C:C, "&gt;=01/06/2023", Trades!C:C, "&lt;=30/06/2023")</f>
        <v>0</v>
      </c>
      <c r="K9" s="106">
        <f>COUNTIFS(Trades!K:K, "short",Trades!C:C, "&gt;=01/07/2023", Trades!C:C, "&lt;=31/07/2023")</f>
        <v>0</v>
      </c>
      <c r="L9" s="106">
        <f>COUNTIFS(Trades!K:K, "short",Trades!C:C, "&gt;=01/08/2023", Trades!C:C, "&lt;=31/08/2023")</f>
        <v>0</v>
      </c>
      <c r="M9" s="106">
        <f>COUNTIFS(Trades!K:K, "short",Trades!C:C, "&gt;=01/09/2023", Trades!C:C, "&lt;=30/09/2023")</f>
        <v>0</v>
      </c>
      <c r="N9" s="106">
        <f>COUNTIFS(Trades!K:K, "short",Trades!C:C, "&gt;=01/10/2023", Trades!C:C, "&lt;=31/10/2023")</f>
        <v>0</v>
      </c>
      <c r="O9" s="106">
        <f>COUNTIFS(Trades!K:K, "short",Trades!C:C, "&gt;=01/11/2023", Trades!C:C, "&lt;=30/11/2023")</f>
        <v>0</v>
      </c>
      <c r="P9" s="108">
        <f>COUNTIFS(Trades!K:K, "short",Trades!C:C, "&gt;=01/12/2023", Trades!C:C, "&lt;=31/12/2023")</f>
        <v>0</v>
      </c>
    </row>
    <row r="10" spans="2:20" ht="15.75" customHeight="1" x14ac:dyDescent="0.25">
      <c r="B10" s="142"/>
      <c r="C10" s="143"/>
      <c r="D10" s="115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8"/>
    </row>
    <row r="11" spans="2:20" ht="15.75" customHeight="1" x14ac:dyDescent="0.25">
      <c r="B11" s="224" t="s">
        <v>140</v>
      </c>
      <c r="C11" s="225"/>
      <c r="D11" s="115">
        <f>COUNTIFS(Trades!X:X, "win", Trades!C:C, "&gt;=01/01/2023", Trades!C:C, "&lt;=31/12/2023")</f>
        <v>0</v>
      </c>
      <c r="E11" s="106">
        <f>COUNTIFS(Trades!X:X, "win",Trades!C:C, "&gt;=01/01/2023", Trades!C:C, "&lt;=31/01/2023")</f>
        <v>0</v>
      </c>
      <c r="F11" s="106">
        <f>COUNTIFS(Trades!X:X, "win",Trades!C:C, "&gt;=01/02/2023", Trades!C:C, "&lt;=28/02/2023")</f>
        <v>0</v>
      </c>
      <c r="G11" s="106">
        <f>COUNTIFS(Trades!X:X, "win",Trades!C:C, "&gt;=01/03/2023", Trades!C:C, "&lt;=31/03/2023")</f>
        <v>0</v>
      </c>
      <c r="H11" s="106">
        <f>COUNTIFS(Trades!X:X, "win",Trades!C:C, "&gt;=01/04/2023", Trades!C:C, "&lt;=30/04/2023")</f>
        <v>0</v>
      </c>
      <c r="I11" s="106">
        <f>COUNTIFS(Trades!X:X, "win",Trades!C:C, "&gt;=01/05/2023", Trades!C:C, "&lt;=31/05/2023")</f>
        <v>0</v>
      </c>
      <c r="J11" s="106">
        <f>COUNTIFS(Trades!X:X, "win",Trades!C:C, "&gt;=01/06/2023", Trades!C:C, "&lt;=30/06/2023")</f>
        <v>0</v>
      </c>
      <c r="K11" s="106">
        <f>COUNTIFS(Trades!X:X, "win",Trades!C:C, "&gt;=01/07/2023", Trades!C:C, "&lt;=31/07/2023")</f>
        <v>0</v>
      </c>
      <c r="L11" s="106">
        <f>COUNTIFS(Trades!X:X, "win",Trades!C:C, "&gt;=01/08/2023", Trades!C:C, "&lt;=31/08/2023")</f>
        <v>0</v>
      </c>
      <c r="M11" s="106">
        <f>COUNTIFS(Trades!X:X, "win",Trades!C:C, "&gt;=01/09/2023", Trades!C:C, "&lt;=30/09/2023")</f>
        <v>0</v>
      </c>
      <c r="N11" s="106">
        <f>COUNTIFS(Trades!X:X, "win",Trades!C:C, "&gt;=01/10/2023", Trades!C:C, "&lt;=31/10/2023")</f>
        <v>0</v>
      </c>
      <c r="O11" s="106">
        <f>COUNTIFS(Trades!X:X, "win",Trades!C:C, "&gt;=01/11/2023", Trades!C:C, "&lt;=30/11/2023")</f>
        <v>0</v>
      </c>
      <c r="P11" s="108">
        <f>COUNTIFS(Trades!X:X, "win",Trades!C:C, "&gt;=01/12/2023", Trades!C:C, "&lt;=31/12/2023")</f>
        <v>0</v>
      </c>
    </row>
    <row r="12" spans="2:20" ht="15.75" customHeight="1" x14ac:dyDescent="0.25">
      <c r="B12" s="224" t="s">
        <v>141</v>
      </c>
      <c r="C12" s="225"/>
      <c r="D12" s="115">
        <f>COUNTIFS(Trades!X:X, "loss", Trades!C:C, "&gt;=01/01/2023", Trades!C:C, "&lt;=31/12/2023")</f>
        <v>0</v>
      </c>
      <c r="E12" s="106">
        <f>COUNTIFS(Trades!X:X, "loss",Trades!C:C, "&gt;=01/01/2023", Trades!C:C, "&lt;=31/01/2023")</f>
        <v>0</v>
      </c>
      <c r="F12" s="106">
        <f>COUNTIFS(Trades!X:X, "loss",Trades!C:C, "&gt;=01/02/2023", Trades!C:C, "&lt;=28/02/2023")</f>
        <v>0</v>
      </c>
      <c r="G12" s="106">
        <f>COUNTIFS(Trades!X:X, "loss",Trades!C:C, "&gt;=01/03/2023", Trades!C:C, "&lt;=31/03/2023")</f>
        <v>0</v>
      </c>
      <c r="H12" s="106">
        <f>COUNTIFS(Trades!X:X, "loss",Trades!C:C, "&gt;=01/04/2023", Trades!C:C, "&lt;=30/04/2023")</f>
        <v>0</v>
      </c>
      <c r="I12" s="106">
        <f>COUNTIFS(Trades!X:X, "loss",Trades!C:C, "&gt;=01/05/2023", Trades!C:C, "&lt;=31/05/2023")</f>
        <v>0</v>
      </c>
      <c r="J12" s="106">
        <f>COUNTIFS(Trades!X:X, "loss",Trades!C:C, "&gt;=01/06/2023", Trades!C:C, "&lt;=30/06/2023")</f>
        <v>0</v>
      </c>
      <c r="K12" s="106">
        <f>COUNTIFS(Trades!X:X, "loss",Trades!C:C, "&gt;=01/07/2023", Trades!C:C, "&lt;=31/07/2023")</f>
        <v>0</v>
      </c>
      <c r="L12" s="106">
        <f>COUNTIFS(Trades!X:X, "loss",Trades!C:C, "&gt;=01/08/2023", Trades!C:C, "&lt;=31/08/2023")</f>
        <v>0</v>
      </c>
      <c r="M12" s="106">
        <f>COUNTIFS(Trades!X:X, "loss",Trades!C:C, "&gt;=01/09/2023", Trades!C:C, "&lt;=30/09/2023")</f>
        <v>0</v>
      </c>
      <c r="N12" s="106">
        <f>COUNTIFS(Trades!X:X, "loss",Trades!C:C, "&gt;=01/10/2023", Trades!C:C, "&lt;=31/10/2023")</f>
        <v>0</v>
      </c>
      <c r="O12" s="106">
        <f>COUNTIFS(Trades!X:X, "loss",Trades!C:C, "&gt;=01/11/2023", Trades!C:C, "&lt;=30/11/2023")</f>
        <v>0</v>
      </c>
      <c r="P12" s="108">
        <f>COUNTIFS(Trades!X:X, "loss",Trades!C:C, "&gt;=01/12/2023", Trades!C:C, "&lt;=31/12/2023")</f>
        <v>0</v>
      </c>
    </row>
    <row r="13" spans="2:20" ht="15.75" customHeight="1" x14ac:dyDescent="0.25">
      <c r="B13" s="224" t="s">
        <v>85</v>
      </c>
      <c r="C13" s="225"/>
      <c r="D13" s="116" t="e">
        <f>D11/(D11+D12)</f>
        <v>#DIV/0!</v>
      </c>
      <c r="E13" s="109" t="str">
        <f t="shared" ref="E13:P13" si="0">IF(E11+E12=0, "", E11/(E11+E12))</f>
        <v/>
      </c>
      <c r="F13" s="109" t="str">
        <f t="shared" si="0"/>
        <v/>
      </c>
      <c r="G13" s="109" t="str">
        <f t="shared" si="0"/>
        <v/>
      </c>
      <c r="H13" s="109" t="str">
        <f t="shared" si="0"/>
        <v/>
      </c>
      <c r="I13" s="109" t="str">
        <f t="shared" si="0"/>
        <v/>
      </c>
      <c r="J13" s="109" t="str">
        <f t="shared" si="0"/>
        <v/>
      </c>
      <c r="K13" s="109" t="str">
        <f t="shared" si="0"/>
        <v/>
      </c>
      <c r="L13" s="109" t="str">
        <f t="shared" si="0"/>
        <v/>
      </c>
      <c r="M13" s="109" t="str">
        <f t="shared" si="0"/>
        <v/>
      </c>
      <c r="N13" s="109" t="str">
        <f t="shared" si="0"/>
        <v/>
      </c>
      <c r="O13" s="109" t="str">
        <f t="shared" si="0"/>
        <v/>
      </c>
      <c r="P13" s="110" t="str">
        <f t="shared" si="0"/>
        <v/>
      </c>
      <c r="R13" s="152"/>
    </row>
    <row r="14" spans="2:20" ht="15.75" customHeight="1" x14ac:dyDescent="0.25">
      <c r="B14" s="119"/>
      <c r="C14" s="120"/>
      <c r="D14" s="115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8"/>
    </row>
    <row r="15" spans="2:20" ht="15.75" customHeight="1" x14ac:dyDescent="0.25">
      <c r="B15" s="224" t="s">
        <v>142</v>
      </c>
      <c r="C15" s="225"/>
      <c r="D15" s="117">
        <f>SUM(E15:P15)</f>
        <v>0</v>
      </c>
      <c r="E15" s="109">
        <f>SUMIFS(Trades!V:V, Trades!C:C, "&gt;=01/01/2023", Trades!C:C, "&lt;=31/01/2023", Trades!V:V, "&gt;0")</f>
        <v>0</v>
      </c>
      <c r="F15" s="111">
        <f>SUMIFS(Trades!V:V, Trades!C:C, "&gt;=01/02/2023", Trades!C:C, "&lt;=28/02/2023", Trades!V:V, "&gt;0")</f>
        <v>0</v>
      </c>
      <c r="G15" s="111">
        <f>SUMIFS(Trades!V:V, Trades!C:C, "&gt;=01/03/2023", Trades!C:C, "&lt;=31/03/2023", Trades!V:V, "&gt;0")</f>
        <v>0</v>
      </c>
      <c r="H15" s="111">
        <f>SUMIFS(Trades!V:V, Trades!C:C, "&gt;=01/04/2023", Trades!C:C, "&lt;=30/04/2023", Trades!V:V, "&gt;0")</f>
        <v>0</v>
      </c>
      <c r="I15" s="111">
        <f>SUMIFS(Trades!V:V, Trades!C:C, "&gt;=01/05/2023", Trades!C:C, "&lt;=31/05/2023", Trades!V:V, "&gt;0")</f>
        <v>0</v>
      </c>
      <c r="J15" s="111">
        <f>SUMIFS(Trades!V:V, Trades!C:C, "&gt;=01/06/2023", Trades!C:C, "&lt;=30/06/2023", Trades!V:V, "&gt;0")</f>
        <v>0</v>
      </c>
      <c r="K15" s="111">
        <f>SUMIFS(Trades!V:V, Trades!C:C, "&gt;=01/07/2023", Trades!C:C, "&lt;=31/07/2023", Trades!V:V, "&gt;0")</f>
        <v>0</v>
      </c>
      <c r="L15" s="111">
        <f>SUMIFS(Trades!V:V, Trades!C:C, "&gt;=01/08/2023", Trades!C:C, "&lt;=31/08/2023", Trades!V:V, "&gt;0")</f>
        <v>0</v>
      </c>
      <c r="M15" s="111">
        <f>SUMIFS(Trades!V:V, Trades!C:C, "&gt;=01/09/2023", Trades!C:C, "&lt;=30/09/2023", Trades!V:V, "&gt;0")</f>
        <v>0</v>
      </c>
      <c r="N15" s="111">
        <f>SUMIFS(Trades!V:V, Trades!C:C, "&gt;=01/10/2023", Trades!C:C, "&lt;=31/10/2023", Trades!V:V, "&gt;0")</f>
        <v>0</v>
      </c>
      <c r="O15" s="111">
        <f>SUMIFS(Trades!V:V, Trades!C:C, "&gt;=01/11/2023", Trades!C:C, "&lt;=30/11/2023", Trades!V:V, "&gt;0")</f>
        <v>0</v>
      </c>
      <c r="P15" s="112">
        <f>SUMIFS(Trades!V:V, Trades!C:C, "&gt;=01/12/2023", Trades!C:C, "&lt;=31/12/2023", Trades!V:V, "&gt;0")</f>
        <v>0</v>
      </c>
      <c r="T15" s="161"/>
    </row>
    <row r="16" spans="2:20" ht="15.75" customHeight="1" x14ac:dyDescent="0.25">
      <c r="B16" s="224" t="s">
        <v>143</v>
      </c>
      <c r="C16" s="225"/>
      <c r="D16" s="117">
        <f>SUM(E16:P16)</f>
        <v>0</v>
      </c>
      <c r="E16" s="111">
        <f>SUMIFS(Trades!V:V, Trades!C:C, "&gt;=01/01/2023", Trades!C:C, "&lt;=31/01/2023", Trades!V:V, "&lt;0")</f>
        <v>0</v>
      </c>
      <c r="F16" s="111">
        <f>SUMIFS(Trades!V:V, Trades!C:C, "&gt;=01/02/2023", Trades!C:C, "&lt;=28/02/2023", Trades!V:V, "&lt;0")</f>
        <v>0</v>
      </c>
      <c r="G16" s="111">
        <f>SUMIFS(Trades!V:V, Trades!C:C, "&gt;=01/03/2023", Trades!C:C, "&lt;=31/03/2023", Trades!V:V, "&lt;0")</f>
        <v>0</v>
      </c>
      <c r="H16" s="111">
        <f>SUMIFS(Trades!V:V, Trades!C:C, "&gt;=01/04/2023", Trades!C:C, "&lt;=30/04/2023", Trades!V:V, "&lt;0")</f>
        <v>0</v>
      </c>
      <c r="I16" s="111">
        <f>SUMIFS(Trades!V:V, Trades!C:C, "&gt;=01/05/2023", Trades!C:C, "&lt;=31/05/2023", Trades!V:V, "&lt;0")</f>
        <v>0</v>
      </c>
      <c r="J16" s="111">
        <f>SUMIFS(Trades!V:V, Trades!C:C, "&gt;=01/06/2023", Trades!C:C, "&lt;=30/06/2023", Trades!V:V, "&lt;0")</f>
        <v>0</v>
      </c>
      <c r="K16" s="111">
        <f>SUMIFS(Trades!V:V, Trades!C:C, "&gt;=01/07/2023", Trades!C:C, "&lt;=31/07/2023", Trades!V:V, "&lt;0")</f>
        <v>0</v>
      </c>
      <c r="L16" s="111">
        <f>SUMIFS(Trades!V:V, Trades!C:C, "&gt;=01/08/2023", Trades!C:C, "&lt;=31/08/2023", Trades!V:V, "&lt;0")</f>
        <v>0</v>
      </c>
      <c r="M16" s="111">
        <f>SUMIFS(Trades!V:V, Trades!C:C, "&gt;=01/09/2023", Trades!C:C, "&lt;=30/09/2023", Trades!V:V, "&lt;0")</f>
        <v>0</v>
      </c>
      <c r="N16" s="111">
        <f>SUMIFS(Trades!V:V, Trades!C:C, "&gt;=01/10/2023", Trades!C:C, "&lt;=31/10/2023", Trades!V:V, "&lt;0")</f>
        <v>0</v>
      </c>
      <c r="O16" s="111">
        <f>SUMIFS(Trades!V:V, Trades!C:C, "&gt;=01/11/2023", Trades!C:C, "&lt;=30/11/2023", Trades!V:V, "&lt;0")</f>
        <v>0</v>
      </c>
      <c r="P16" s="112">
        <f>SUMIFS(Trades!V:V, Trades!C:C, "&gt;=01/12/2023", Trades!C:C, "&lt;=31/12/2023", Trades!V:V, "&lt;0")</f>
        <v>0</v>
      </c>
    </row>
    <row r="17" spans="2:16" ht="15.75" customHeight="1" x14ac:dyDescent="0.25">
      <c r="B17" s="224" t="s">
        <v>144</v>
      </c>
      <c r="C17" s="225"/>
      <c r="D17" s="109" t="str">
        <f t="shared" ref="D17:P17" si="1">IF((D15+D16=0%), "", SUM(D15, D16))</f>
        <v/>
      </c>
      <c r="E17" s="109" t="str">
        <f t="shared" si="1"/>
        <v/>
      </c>
      <c r="F17" s="109" t="str">
        <f t="shared" si="1"/>
        <v/>
      </c>
      <c r="G17" s="109" t="str">
        <f t="shared" si="1"/>
        <v/>
      </c>
      <c r="H17" s="109" t="str">
        <f t="shared" si="1"/>
        <v/>
      </c>
      <c r="I17" s="109" t="str">
        <f t="shared" si="1"/>
        <v/>
      </c>
      <c r="J17" s="109" t="str">
        <f t="shared" si="1"/>
        <v/>
      </c>
      <c r="K17" s="109" t="str">
        <f t="shared" si="1"/>
        <v/>
      </c>
      <c r="L17" s="109" t="str">
        <f t="shared" si="1"/>
        <v/>
      </c>
      <c r="M17" s="109" t="str">
        <f t="shared" si="1"/>
        <v/>
      </c>
      <c r="N17" s="109" t="str">
        <f t="shared" si="1"/>
        <v/>
      </c>
      <c r="O17" s="109" t="str">
        <f t="shared" si="1"/>
        <v/>
      </c>
      <c r="P17" s="109" t="str">
        <f t="shared" si="1"/>
        <v/>
      </c>
    </row>
    <row r="18" spans="2:16" ht="15.75" customHeight="1" x14ac:dyDescent="0.25">
      <c r="B18" s="154"/>
      <c r="C18" s="158"/>
      <c r="D18" s="155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7"/>
    </row>
    <row r="19" spans="2:16" ht="16.5" customHeight="1" thickBot="1" x14ac:dyDescent="0.3">
      <c r="B19" s="226" t="s">
        <v>145</v>
      </c>
      <c r="C19" s="227"/>
      <c r="D19" s="118">
        <f>IF(D17="",Trades!R2,Trades!R2+D17)</f>
        <v>1</v>
      </c>
      <c r="E19" s="113">
        <f>IF(E17=0%,Trades!R2,SUM(Trades!$R2,E17))</f>
        <v>1</v>
      </c>
      <c r="F19" s="113">
        <f t="shared" ref="F19:P19" si="2">IF(F17=0%,E19,SUM(E19,F17))</f>
        <v>1</v>
      </c>
      <c r="G19" s="113">
        <f t="shared" si="2"/>
        <v>1</v>
      </c>
      <c r="H19" s="113">
        <f t="shared" si="2"/>
        <v>1</v>
      </c>
      <c r="I19" s="113">
        <f t="shared" si="2"/>
        <v>1</v>
      </c>
      <c r="J19" s="113">
        <f t="shared" si="2"/>
        <v>1</v>
      </c>
      <c r="K19" s="113">
        <f t="shared" si="2"/>
        <v>1</v>
      </c>
      <c r="L19" s="113">
        <f t="shared" si="2"/>
        <v>1</v>
      </c>
      <c r="M19" s="113">
        <f t="shared" si="2"/>
        <v>1</v>
      </c>
      <c r="N19" s="113">
        <f t="shared" si="2"/>
        <v>1</v>
      </c>
      <c r="O19" s="113">
        <f t="shared" si="2"/>
        <v>1</v>
      </c>
      <c r="P19" s="113">
        <f t="shared" si="2"/>
        <v>1</v>
      </c>
    </row>
    <row r="20" spans="2:16" x14ac:dyDescent="0.25">
      <c r="B20" s="146"/>
      <c r="C20" s="146"/>
    </row>
    <row r="21" spans="2:16" ht="15.75" customHeight="1" thickBot="1" x14ac:dyDescent="0.3"/>
    <row r="22" spans="2:16" ht="15.75" customHeight="1" x14ac:dyDescent="0.25">
      <c r="B22" s="141"/>
      <c r="C22" s="140"/>
      <c r="D22" s="101" t="s">
        <v>123</v>
      </c>
      <c r="E22" s="144" t="s">
        <v>124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5"/>
    </row>
    <row r="23" spans="2:16" ht="16.5" customHeight="1" thickBot="1" x14ac:dyDescent="0.3">
      <c r="B23" s="102"/>
      <c r="C23" s="103"/>
      <c r="D23" s="121">
        <v>2024</v>
      </c>
      <c r="E23" s="123" t="s">
        <v>125</v>
      </c>
      <c r="F23" s="123" t="s">
        <v>126</v>
      </c>
      <c r="G23" s="123" t="s">
        <v>127</v>
      </c>
      <c r="H23" s="123" t="s">
        <v>128</v>
      </c>
      <c r="I23" s="123" t="s">
        <v>129</v>
      </c>
      <c r="J23" s="123" t="s">
        <v>130</v>
      </c>
      <c r="K23" s="123" t="s">
        <v>131</v>
      </c>
      <c r="L23" s="123" t="s">
        <v>132</v>
      </c>
      <c r="M23" s="123" t="s">
        <v>133</v>
      </c>
      <c r="N23" s="123" t="s">
        <v>134</v>
      </c>
      <c r="O23" s="123" t="s">
        <v>135</v>
      </c>
      <c r="P23" s="122" t="s">
        <v>136</v>
      </c>
    </row>
    <row r="24" spans="2:16" ht="15.75" customHeight="1" x14ac:dyDescent="0.25">
      <c r="B24" s="221" t="s">
        <v>137</v>
      </c>
      <c r="C24" s="223"/>
      <c r="D24" s="114">
        <f>COUNTIFS(Trades!B:B, "&lt;&gt;", Trades!C:C, "&gt;=01/01/2024", Trades!C:C, "&lt;=31/12/2024")</f>
        <v>0</v>
      </c>
      <c r="E24" s="104">
        <f>COUNTIFS(Trades!B:B, "&lt;&gt;",Trades!C:C, "&gt;=01/01/2024", Trades!C:C, "&lt;=31/01/2024")</f>
        <v>0</v>
      </c>
      <c r="F24" s="104">
        <f>COUNTIFS(Trades!B:B, "&lt;&gt;",Trades!C:C, "&gt;=01/02/2024", Trades!C:C, "&lt;=29/02/2024")</f>
        <v>0</v>
      </c>
      <c r="G24" s="104">
        <f>COUNTIFS(Trades!B:B, "&lt;&gt;",Trades!C:C, "&gt;=01/03/2024", Trades!C:C, "&lt;=31/03/2024")</f>
        <v>0</v>
      </c>
      <c r="H24" s="104">
        <f>COUNTIFS(Trades!B:B, "&lt;&gt;",Trades!C:C, "&gt;=01/04/2024", Trades!C:C, "&lt;=30/04/2024")</f>
        <v>0</v>
      </c>
      <c r="I24" s="104">
        <f>COUNTIFS(Trades!B:B, "&lt;&gt;",Trades!C:C, "&gt;=01/05/2024", Trades!C:C, "&lt;=31/05/2024")</f>
        <v>0</v>
      </c>
      <c r="J24" s="104">
        <f>COUNTIFS(Trades!B:B, "&lt;&gt;",Trades!C:C, "&gt;=01/06/2024", Trades!C:C, "&lt;=30/06/2024")</f>
        <v>0</v>
      </c>
      <c r="K24" s="104">
        <f>COUNTIFS(Trades!B:B, "&lt;&gt;",Trades!C:C, "&gt;=01/07/2024", Trades!C:C, "&lt;=31/07/2024")</f>
        <v>0</v>
      </c>
      <c r="L24" s="104">
        <f>COUNTIFS(Trades!B:B, "&lt;&gt;",Trades!C:C, "&gt;=01/08/2024", Trades!C:C, "&lt;=31/08/2024")</f>
        <v>0</v>
      </c>
      <c r="M24" s="104">
        <f>COUNTIFS(Trades!B:B, "&lt;&gt;",Trades!C:C, "&gt;=01/09/2024", Trades!C:C, "&lt;=30/09/2024")</f>
        <v>0</v>
      </c>
      <c r="N24" s="104">
        <f>COUNTIFS(Trades!B:B, "&lt;&gt;",Trades!C:C, "&gt;=01/10/2024", Trades!C:C, "&lt;=31/10/2024")</f>
        <v>0</v>
      </c>
      <c r="O24" s="104">
        <f>COUNTIFS(Trades!B:B, "&lt;&gt;",Trades!C:C, "&gt;=01/11/2024", Trades!C:C, "&lt;=30/11/2024")</f>
        <v>0</v>
      </c>
      <c r="P24" s="105">
        <f>COUNTIFS(Trades!B:B, "&lt;&gt;",Trades!C:C, "&gt;=01/12/2024", Trades!C:C, "&lt;=31/12/2024")</f>
        <v>0</v>
      </c>
    </row>
    <row r="25" spans="2:16" ht="15.75" customHeight="1" x14ac:dyDescent="0.25">
      <c r="B25" s="224" t="s">
        <v>138</v>
      </c>
      <c r="C25" s="225"/>
      <c r="D25" s="115">
        <f>COUNTIFS(Trades!K:K, "LONG", Trades!C:C, "&gt;=01/01/2024", Trades!C:C, "&lt;=31/12/2024")</f>
        <v>0</v>
      </c>
      <c r="E25" s="106">
        <f>COUNTIFS(Trades!K:K, "long",Trades!C:C, "&gt;=01/01/2024", Trades!C:C, "&lt;=31/01/2024")</f>
        <v>0</v>
      </c>
      <c r="F25" s="106">
        <f>COUNTIFS(Trades!K:K, "long",Trades!C:C, "&gt;=01/02/2024", Trades!C:C, "&lt;=29/02/2024")</f>
        <v>0</v>
      </c>
      <c r="G25" s="107">
        <f>COUNTIFS(Trades!K:K, "long",Trades!C:C, "&gt;=01/03/2024", Trades!C:C, "&lt;=31/03/2024")</f>
        <v>0</v>
      </c>
      <c r="H25" s="106">
        <f>COUNTIFS(Trades!K:K, "long",Trades!C:C, "&gt;=01/04/2024", Trades!C:C, "&lt;=30/04/2024")</f>
        <v>0</v>
      </c>
      <c r="I25" s="106">
        <f>COUNTIFS(Trades!K:K, "long",Trades!C:C, "&gt;=01/05/2024", Trades!C:C, "&lt;=31/05/2024")</f>
        <v>0</v>
      </c>
      <c r="J25" s="106">
        <f>COUNTIFS(Trades!K:K, "long",Trades!C:C, "&gt;=01/06/2024", Trades!C:C, "&lt;=30/06/2024")</f>
        <v>0</v>
      </c>
      <c r="K25" s="106">
        <f>COUNTIFS(Trades!K:K, "long",Trades!C:C, "&gt;=01/07/2024", Trades!C:C, "&lt;=31/07/2024")</f>
        <v>0</v>
      </c>
      <c r="L25" s="106">
        <f>COUNTIFS(Trades!K:K, "long",Trades!C:C, "&gt;=01/08/2024", Trades!C:C, "&lt;=31/08/2024")</f>
        <v>0</v>
      </c>
      <c r="M25" s="106">
        <f>COUNTIFS(Trades!K:K, "long",Trades!C:C, "&gt;=01/09/2024", Trades!C:C, "&lt;=30/09/2024")</f>
        <v>0</v>
      </c>
      <c r="N25" s="106">
        <f>COUNTIFS(Trades!K:K, "long",Trades!C:C, "&gt;=01/10/2024", Trades!C:C, "&lt;=31/10/2024")</f>
        <v>0</v>
      </c>
      <c r="O25" s="106">
        <f>COUNTIFS(Trades!K:K, "long",Trades!C:C, "&gt;=01/11/2024", Trades!C:C, "&lt;=30/11/2024")</f>
        <v>0</v>
      </c>
      <c r="P25" s="108">
        <f>COUNTIFS(Trades!K:K, "long",Trades!C:C, "&gt;=01/12/2024", Trades!C:C, "&lt;=31/12/2024")</f>
        <v>0</v>
      </c>
    </row>
    <row r="26" spans="2:16" ht="15.75" customHeight="1" x14ac:dyDescent="0.25">
      <c r="B26" s="224" t="s">
        <v>139</v>
      </c>
      <c r="C26" s="225"/>
      <c r="D26" s="115">
        <f>COUNTIFS(Trades!K:K, "short", Trades!C:C, "&gt;=01/01/2024", Trades!C:C, "&lt;=31/12/2024")</f>
        <v>0</v>
      </c>
      <c r="E26" s="106">
        <f>COUNTIFS(Trades!K:K, "short",Trades!C:C, "&gt;=01/01/2024", Trades!C:C, "&lt;=31/01/2024")</f>
        <v>0</v>
      </c>
      <c r="F26" s="106">
        <f>COUNTIFS(Trades!K:K, "short",Trades!C:C, "&gt;=01/02/2024", Trades!C:C, "&lt;=29/02/2024")</f>
        <v>0</v>
      </c>
      <c r="G26" s="106">
        <f>COUNTIFS(Trades!K:K, "short",Trades!C:C, "&gt;=01/03/2024", Trades!C:C, "&lt;=31/03/2024")</f>
        <v>0</v>
      </c>
      <c r="H26" s="107">
        <f>COUNTIFS(Trades!K:K, "short",Trades!C:C, "&gt;=01/04/2024", Trades!C:C, "&lt;=30/04/2024")</f>
        <v>0</v>
      </c>
      <c r="I26" s="106">
        <f>COUNTIFS(Trades!K:K, "short",Trades!C:C, "&gt;=01/05/2024", Trades!C:C, "&lt;=31/05/2024")</f>
        <v>0</v>
      </c>
      <c r="J26" s="106">
        <f>COUNTIFS(Trades!K:K, "short",Trades!C:C, "&gt;=01/06/2024", Trades!C:C, "&lt;=30/06/2024")</f>
        <v>0</v>
      </c>
      <c r="K26" s="106">
        <f>COUNTIFS(Trades!K:K, "short",Trades!C:C, "&gt;=01/07/2024", Trades!C:C, "&lt;=31/07/2024")</f>
        <v>0</v>
      </c>
      <c r="L26" s="106">
        <f>COUNTIFS(Trades!K:K, "short",Trades!C:C, "&gt;=01/08/2024", Trades!C:C, "&lt;=31/08/2024")</f>
        <v>0</v>
      </c>
      <c r="M26" s="106">
        <f>COUNTIFS(Trades!K:K, "short",Trades!C:C, "&gt;=01/09/2024", Trades!C:C, "&lt;=30/09/2024")</f>
        <v>0</v>
      </c>
      <c r="N26" s="106">
        <f>COUNTIFS(Trades!K:K, "short",Trades!C:C, "&gt;=01/10/2024", Trades!C:C, "&lt;=31/10/2024")</f>
        <v>0</v>
      </c>
      <c r="O26" s="106">
        <f>COUNTIFS(Trades!K:K, "short",Trades!C:C, "&gt;=01/11/2024", Trades!C:C, "&lt;=30/11/2024")</f>
        <v>0</v>
      </c>
      <c r="P26" s="108">
        <f>COUNTIFS(Trades!K:K, "short",Trades!C:C, "&gt;=01/12/2024", Trades!C:C, "&lt;=31/12/2024")</f>
        <v>0</v>
      </c>
    </row>
    <row r="27" spans="2:16" ht="15.75" customHeight="1" x14ac:dyDescent="0.25">
      <c r="B27" s="142"/>
      <c r="C27" s="143"/>
      <c r="D27" s="115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8"/>
    </row>
    <row r="28" spans="2:16" ht="15.75" customHeight="1" x14ac:dyDescent="0.25">
      <c r="B28" s="224" t="s">
        <v>140</v>
      </c>
      <c r="C28" s="225"/>
      <c r="D28" s="115">
        <f>COUNTIFS(Trades!X:X, "win", Trades!C:C, "&gt;=01/01/2024", Trades!C:C, "&lt;=31/12/2024")</f>
        <v>0</v>
      </c>
      <c r="E28" s="106">
        <f>COUNTIFS(Trades!X:X, "win",Trades!C:C, "&gt;=01/01/2024", Trades!C:C, "&lt;=31/01/2024")</f>
        <v>0</v>
      </c>
      <c r="F28" s="106">
        <f>COUNTIFS(Trades!X:X, "win",Trades!C:C, "&gt;=01/02/2024", Trades!C:C, "&lt;=29/02/2024")</f>
        <v>0</v>
      </c>
      <c r="G28" s="106">
        <f>COUNTIFS(Trades!X:X, "win",Trades!C:C, "&gt;=01/03/2024", Trades!C:C, "&lt;=31/03/2024")</f>
        <v>0</v>
      </c>
      <c r="H28" s="106">
        <f>COUNTIFS(Trades!X:X, "win",Trades!C:C, "&gt;=01/04/2024", Trades!C:C, "&lt;=30/04/2024")</f>
        <v>0</v>
      </c>
      <c r="I28" s="106">
        <f>COUNTIFS(Trades!X:X, "win",Trades!C:C, "&gt;=01/05/2024", Trades!C:C, "&lt;=31/05/2024")</f>
        <v>0</v>
      </c>
      <c r="J28" s="106">
        <f>COUNTIFS(Trades!X:X, "win",Trades!C:C, "&gt;=01/06/2024", Trades!C:C, "&lt;=30/06/2024")</f>
        <v>0</v>
      </c>
      <c r="K28" s="106">
        <f>COUNTIFS(Trades!X:X, "win",Trades!C:C, "&gt;=01/07/2024", Trades!C:C, "&lt;=31/07/2024")</f>
        <v>0</v>
      </c>
      <c r="L28" s="106">
        <f>COUNTIFS(Trades!X:X, "win",Trades!C:C, "&gt;=01/08/2024", Trades!C:C, "&lt;=31/08/2024")</f>
        <v>0</v>
      </c>
      <c r="M28" s="106">
        <f>COUNTIFS(Trades!X:X, "win",Trades!C:C, "&gt;=01/09/2024", Trades!C:C, "&lt;=30/09/2024")</f>
        <v>0</v>
      </c>
      <c r="N28" s="106">
        <f>COUNTIFS(Trades!X:X, "win",Trades!C:C, "&gt;=01/10/2024", Trades!C:C, "&lt;=31/10/2024")</f>
        <v>0</v>
      </c>
      <c r="O28" s="106">
        <f>COUNTIFS(Trades!X:X, "win",Trades!C:C, "&gt;=01/11/2024", Trades!C:C, "&lt;=30/11/2024")</f>
        <v>0</v>
      </c>
      <c r="P28" s="108">
        <f>COUNTIFS(Trades!X:X, "win",Trades!C:C, "&gt;=01/12/2024", Trades!C:C, "&lt;=31/12/2024")</f>
        <v>0</v>
      </c>
    </row>
    <row r="29" spans="2:16" ht="15.75" customHeight="1" x14ac:dyDescent="0.25">
      <c r="B29" s="224" t="s">
        <v>141</v>
      </c>
      <c r="C29" s="225"/>
      <c r="D29" s="115">
        <f>COUNTIFS(Trades!X:X, "loss", Trades!C:C, "&gt;=01/01/2024", Trades!C:C, "&lt;=31/12/2024")</f>
        <v>0</v>
      </c>
      <c r="E29" s="106">
        <f>COUNTIFS(Trades!X:X, "loss",Trades!C:C, "&gt;=01/01/2024", Trades!C:C, "&lt;=31/01/2024")</f>
        <v>0</v>
      </c>
      <c r="F29" s="106">
        <f>COUNTIFS(Trades!X:X, "loss",Trades!C:C, "&gt;=01/02/2024", Trades!C:C, "&lt;=29/02/2024")</f>
        <v>0</v>
      </c>
      <c r="G29" s="106">
        <f>COUNTIFS(Trades!X:X, "loss",Trades!C:C, "&gt;=01/03/2024", Trades!C:C, "&lt;=31/03/2024")</f>
        <v>0</v>
      </c>
      <c r="H29" s="106">
        <f>COUNTIFS(Trades!X:X, "loss",Trades!C:C, "&gt;=01/04/2024", Trades!C:C, "&lt;=30/04/2024")</f>
        <v>0</v>
      </c>
      <c r="I29" s="106">
        <f>COUNTIFS(Trades!X:X, "loss",Trades!C:C, "&gt;=01/05/2024", Trades!C:C, "&lt;=31/05/2024")</f>
        <v>0</v>
      </c>
      <c r="J29" s="106">
        <f>COUNTIFS(Trades!X:X, "loss",Trades!C:C, "&gt;=01/06/2024", Trades!C:C, "&lt;=30/06/2024")</f>
        <v>0</v>
      </c>
      <c r="K29" s="106">
        <f>COUNTIFS(Trades!X:X, "loss",Trades!C:C, "&gt;=01/07/2024", Trades!C:C, "&lt;=31/07/2024")</f>
        <v>0</v>
      </c>
      <c r="L29" s="106">
        <f>COUNTIFS(Trades!X:X, "loss",Trades!C:C, "&gt;=01/08/2024", Trades!C:C, "&lt;=31/08/2024")</f>
        <v>0</v>
      </c>
      <c r="M29" s="106">
        <f>COUNTIFS(Trades!X:X, "loss",Trades!C:C, "&gt;=01/09/2024", Trades!C:C, "&lt;=30/09/2024")</f>
        <v>0</v>
      </c>
      <c r="N29" s="106">
        <f>COUNTIFS(Trades!X:X, "loss",Trades!C:C, "&gt;=01/10/2024", Trades!C:C, "&lt;=31/10/2024")</f>
        <v>0</v>
      </c>
      <c r="O29" s="106">
        <f>COUNTIFS(Trades!X:X, "loss",Trades!C:C, "&gt;=01/11/2024", Trades!C:C, "&lt;=30/11/2024")</f>
        <v>0</v>
      </c>
      <c r="P29" s="108">
        <f>COUNTIFS(Trades!X:X, "loss",Trades!C:C, "&gt;=01/12/2024", Trades!C:C, "&lt;=31/12/2024")</f>
        <v>0</v>
      </c>
    </row>
    <row r="30" spans="2:16" ht="15.75" customHeight="1" x14ac:dyDescent="0.25">
      <c r="B30" s="224" t="s">
        <v>85</v>
      </c>
      <c r="C30" s="225"/>
      <c r="D30" s="116" t="str">
        <f>IF(D28+D29=0, "", SUM(D28/(D28+D29)))</f>
        <v/>
      </c>
      <c r="E30" s="109" t="str">
        <f t="shared" ref="E30:P30" si="3">IF(E28+E29=0, "", E28/(E28+E29))</f>
        <v/>
      </c>
      <c r="F30" s="109" t="str">
        <f t="shared" si="3"/>
        <v/>
      </c>
      <c r="G30" s="109" t="str">
        <f t="shared" si="3"/>
        <v/>
      </c>
      <c r="H30" s="109" t="str">
        <f t="shared" si="3"/>
        <v/>
      </c>
      <c r="I30" s="109" t="str">
        <f t="shared" si="3"/>
        <v/>
      </c>
      <c r="J30" s="109" t="str">
        <f t="shared" si="3"/>
        <v/>
      </c>
      <c r="K30" s="109" t="str">
        <f t="shared" si="3"/>
        <v/>
      </c>
      <c r="L30" s="109" t="str">
        <f t="shared" si="3"/>
        <v/>
      </c>
      <c r="M30" s="109" t="str">
        <f t="shared" si="3"/>
        <v/>
      </c>
      <c r="N30" s="109" t="str">
        <f t="shared" si="3"/>
        <v/>
      </c>
      <c r="O30" s="109" t="str">
        <f t="shared" si="3"/>
        <v/>
      </c>
      <c r="P30" s="110" t="str">
        <f t="shared" si="3"/>
        <v/>
      </c>
    </row>
    <row r="31" spans="2:16" ht="15.75" customHeight="1" x14ac:dyDescent="0.25">
      <c r="B31" s="119"/>
      <c r="C31" s="120"/>
      <c r="D31" s="115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8"/>
    </row>
    <row r="32" spans="2:16" ht="15.75" customHeight="1" x14ac:dyDescent="0.25">
      <c r="B32" s="224" t="s">
        <v>142</v>
      </c>
      <c r="C32" s="225"/>
      <c r="D32" s="117">
        <f>SUM(E32:P32)</f>
        <v>0</v>
      </c>
      <c r="E32" s="109">
        <f>SUMIFS(Trades!V:V, Trades!C:C, "&gt;=01/01/2024", Trades!C:C, "&lt;=31/01/2024", Trades!V:V, "&gt;0")</f>
        <v>0</v>
      </c>
      <c r="F32" s="111">
        <f>SUMIFS(Trades!V:V, Trades!C:C, "&gt;=01/02/2024", Trades!C:C, "&lt;=29/02/2024", Trades!V:V, "&gt;0")</f>
        <v>0</v>
      </c>
      <c r="G32" s="111">
        <f>SUMIFS(Trades!V:V, Trades!C:C, "&gt;=01/03/2024", Trades!C:C, "&lt;=31/03/2024", Trades!V:V, "&gt;0")</f>
        <v>0</v>
      </c>
      <c r="H32" s="111">
        <f>SUMIFS(Trades!V:V, Trades!C:C, "&gt;=01/04/2024", Trades!C:C, "&lt;=30/04/2024", Trades!V:V, "&gt;0")</f>
        <v>0</v>
      </c>
      <c r="I32" s="111">
        <f>SUMIFS(Trades!V:V, Trades!C:C, "&gt;=01/05/2024", Trades!C:C, "&lt;=31/05/2024", Trades!V:V, "&gt;0")</f>
        <v>0</v>
      </c>
      <c r="J32" s="111">
        <f>SUMIFS(Trades!V:V, Trades!C:C, "&gt;=01/06/2024", Trades!C:C, "&lt;=30/06/2024", Trades!V:V, "&gt;0")</f>
        <v>0</v>
      </c>
      <c r="K32" s="111">
        <f>SUMIFS(Trades!V:V, Trades!C:C, "&gt;=01/07/2024", Trades!C:C, "&lt;=31/07/2024", Trades!V:V, "&gt;0")</f>
        <v>0</v>
      </c>
      <c r="L32" s="111">
        <f>SUMIFS(Trades!V:V, Trades!C:C, "&gt;=01/08/2024", Trades!C:C, "&lt;=31/08/2024", Trades!V:V, "&gt;0")</f>
        <v>0</v>
      </c>
      <c r="M32" s="111">
        <f>SUMIFS(Trades!V:V, Trades!C:C, "&gt;=01/09/2024", Trades!C:C, "&lt;=30/09/2024", Trades!V:V, "&gt;0")</f>
        <v>0</v>
      </c>
      <c r="N32" s="111">
        <f>SUMIFS(Trades!V:V, Trades!C:C, "&gt;=01/10/2024", Trades!C:C, "&lt;=31/10/2024", Trades!V:V, "&gt;0")</f>
        <v>0</v>
      </c>
      <c r="O32" s="111">
        <f>SUMIFS(Trades!V:V, Trades!C:C, "&gt;=01/11/2024", Trades!C:C, "&lt;=30/11/2024", Trades!V:V, "&gt;0")</f>
        <v>0</v>
      </c>
      <c r="P32" s="112">
        <f>SUMIFS(Trades!V:V, Trades!C:C, "&gt;=01/12/2024", Trades!C:C, "&lt;=31/12/2024", Trades!V:V, "&gt;0")</f>
        <v>0</v>
      </c>
    </row>
    <row r="33" spans="2:16" ht="15.75" customHeight="1" x14ac:dyDescent="0.25">
      <c r="B33" s="224" t="s">
        <v>143</v>
      </c>
      <c r="C33" s="225"/>
      <c r="D33" s="117">
        <f>SUM(E33:P33)</f>
        <v>0</v>
      </c>
      <c r="E33" s="111">
        <f>SUMIFS(Trades!V:V, Trades!C:C, "&gt;=01/01/2024", Trades!C:C, "&lt;=31/01/2024", Trades!V:V, "&lt;0")</f>
        <v>0</v>
      </c>
      <c r="F33" s="111">
        <f>SUMIFS(Trades!V:V, Trades!C:C, "&gt;=01/02/2024", Trades!C:C, "&lt;=29/02/2024", Trades!V:V, "&lt;0")</f>
        <v>0</v>
      </c>
      <c r="G33" s="111">
        <f>SUMIFS(Trades!V:V, Trades!C:C, "&gt;=01/03/2024", Trades!C:C, "&lt;=31/03/2024", Trades!V:V, "&lt;0")</f>
        <v>0</v>
      </c>
      <c r="H33" s="111">
        <f>SUMIFS(Trades!V:V, Trades!C:C, "&gt;=01/04/2024", Trades!C:C, "&lt;=30/04/2024", Trades!V:V, "&lt;0")</f>
        <v>0</v>
      </c>
      <c r="I33" s="111">
        <f>SUMIFS(Trades!V:V, Trades!C:C, "&gt;=01/05/2024", Trades!C:C, "&lt;=31/05/2024", Trades!V:V, "&lt;0")</f>
        <v>0</v>
      </c>
      <c r="J33" s="111">
        <f>SUMIFS(Trades!V:V, Trades!C:C, "&gt;=01/06/2024", Trades!C:C, "&lt;=30/06/2024", Trades!V:V, "&lt;0")</f>
        <v>0</v>
      </c>
      <c r="K33" s="111">
        <f>SUMIFS(Trades!V:V, Trades!C:C, "&gt;=01/07/2024", Trades!C:C, "&lt;=31/07/2024", Trades!V:V, "&lt;0")</f>
        <v>0</v>
      </c>
      <c r="L33" s="111">
        <f>SUMIFS(Trades!V:V, Trades!C:C, "&gt;=01/08/2024", Trades!C:C, "&lt;=31/08/2024", Trades!V:V, "&lt;0")</f>
        <v>0</v>
      </c>
      <c r="M33" s="111">
        <f>SUMIFS(Trades!V:V, Trades!C:C, "&gt;=01/09/2024", Trades!C:C, "&lt;=30/09/2024", Trades!V:V, "&lt;0")</f>
        <v>0</v>
      </c>
      <c r="N33" s="111">
        <f>SUMIFS(Trades!V:V, Trades!C:C, "&gt;=01/10/2024", Trades!C:C, "&lt;=31/10/2024", Trades!V:V, "&lt;0")</f>
        <v>0</v>
      </c>
      <c r="O33" s="111">
        <f>SUMIFS(Trades!V:V, Trades!C:C, "&gt;=01/11/2024", Trades!C:C, "&lt;=30/11/2024", Trades!V:V, "&lt;0")</f>
        <v>0</v>
      </c>
      <c r="P33" s="112">
        <f>SUMIFS(Trades!V:V, Trades!C:C, "&gt;=01/12/2024", Trades!C:C, "&lt;=31/12/2024", Trades!V:V, "&lt;0")</f>
        <v>0</v>
      </c>
    </row>
    <row r="34" spans="2:16" ht="15.75" customHeight="1" x14ac:dyDescent="0.25">
      <c r="B34" s="224" t="s">
        <v>144</v>
      </c>
      <c r="C34" s="225"/>
      <c r="D34" s="117" t="str">
        <f t="shared" ref="D34:P34" si="4">IF((D32+D33=0%), "", SUM(D32, D33))</f>
        <v/>
      </c>
      <c r="E34" s="111" t="str">
        <f t="shared" si="4"/>
        <v/>
      </c>
      <c r="F34" s="111" t="str">
        <f t="shared" si="4"/>
        <v/>
      </c>
      <c r="G34" s="111" t="str">
        <f t="shared" si="4"/>
        <v/>
      </c>
      <c r="H34" s="111" t="str">
        <f t="shared" si="4"/>
        <v/>
      </c>
      <c r="I34" s="111" t="str">
        <f t="shared" si="4"/>
        <v/>
      </c>
      <c r="J34" s="111" t="str">
        <f t="shared" si="4"/>
        <v/>
      </c>
      <c r="K34" s="111" t="str">
        <f t="shared" si="4"/>
        <v/>
      </c>
      <c r="L34" s="111" t="str">
        <f t="shared" si="4"/>
        <v/>
      </c>
      <c r="M34" s="111" t="str">
        <f t="shared" si="4"/>
        <v/>
      </c>
      <c r="N34" s="111" t="str">
        <f t="shared" si="4"/>
        <v/>
      </c>
      <c r="O34" s="111" t="str">
        <f t="shared" si="4"/>
        <v/>
      </c>
      <c r="P34" s="111" t="str">
        <f t="shared" si="4"/>
        <v/>
      </c>
    </row>
    <row r="35" spans="2:16" ht="15.75" customHeight="1" x14ac:dyDescent="0.25">
      <c r="B35" s="142"/>
      <c r="C35" s="120"/>
      <c r="D35" s="11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8"/>
    </row>
    <row r="36" spans="2:16" ht="16.5" customHeight="1" thickBot="1" x14ac:dyDescent="0.3">
      <c r="B36" s="226" t="s">
        <v>145</v>
      </c>
      <c r="C36" s="227"/>
      <c r="D36" s="118">
        <f>IF(D34="",Trades!R2,Trades!R2+D34)</f>
        <v>1</v>
      </c>
      <c r="E36" s="113">
        <f>IF(E34=0%,Trades!R2,SUM(Trades!R2,E34))</f>
        <v>1</v>
      </c>
      <c r="F36" s="113">
        <f t="shared" ref="F36:P36" si="5">IF(F34=0%,E36,SUM(E36,F34))</f>
        <v>1</v>
      </c>
      <c r="G36" s="113">
        <f t="shared" si="5"/>
        <v>1</v>
      </c>
      <c r="H36" s="113">
        <f t="shared" si="5"/>
        <v>1</v>
      </c>
      <c r="I36" s="113">
        <f t="shared" si="5"/>
        <v>1</v>
      </c>
      <c r="J36" s="113">
        <f t="shared" si="5"/>
        <v>1</v>
      </c>
      <c r="K36" s="113">
        <f t="shared" si="5"/>
        <v>1</v>
      </c>
      <c r="L36" s="113">
        <f t="shared" si="5"/>
        <v>1</v>
      </c>
      <c r="M36" s="113">
        <f t="shared" si="5"/>
        <v>1</v>
      </c>
      <c r="N36" s="113">
        <f t="shared" si="5"/>
        <v>1</v>
      </c>
      <c r="O36" s="113">
        <f t="shared" si="5"/>
        <v>1</v>
      </c>
      <c r="P36" s="113">
        <f t="shared" si="5"/>
        <v>1</v>
      </c>
    </row>
    <row r="37" spans="2:16" ht="15.75" customHeight="1" thickBot="1" x14ac:dyDescent="0.3"/>
    <row r="38" spans="2:16" ht="15.75" customHeight="1" x14ac:dyDescent="0.25">
      <c r="B38" s="229"/>
      <c r="C38" s="230"/>
      <c r="D38" s="140" t="s">
        <v>123</v>
      </c>
      <c r="E38" s="221" t="s">
        <v>124</v>
      </c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3"/>
    </row>
    <row r="39" spans="2:16" ht="16.5" customHeight="1" thickBot="1" x14ac:dyDescent="0.3">
      <c r="B39" s="148"/>
      <c r="C39" s="149"/>
      <c r="D39" s="150">
        <v>2025</v>
      </c>
      <c r="E39" s="123" t="s">
        <v>125</v>
      </c>
      <c r="F39" s="123" t="s">
        <v>126</v>
      </c>
      <c r="G39" s="123" t="s">
        <v>127</v>
      </c>
      <c r="H39" s="123" t="s">
        <v>128</v>
      </c>
      <c r="I39" s="123" t="s">
        <v>129</v>
      </c>
      <c r="J39" s="123" t="s">
        <v>130</v>
      </c>
      <c r="K39" s="123" t="s">
        <v>131</v>
      </c>
      <c r="L39" s="123" t="s">
        <v>132</v>
      </c>
      <c r="M39" s="123" t="s">
        <v>133</v>
      </c>
      <c r="N39" s="123" t="s">
        <v>134</v>
      </c>
      <c r="O39" s="123" t="s">
        <v>135</v>
      </c>
      <c r="P39" s="122" t="s">
        <v>136</v>
      </c>
    </row>
    <row r="40" spans="2:16" ht="15.75" customHeight="1" x14ac:dyDescent="0.25">
      <c r="B40" s="231" t="s">
        <v>137</v>
      </c>
      <c r="C40" s="232"/>
      <c r="D40" s="114">
        <f>COUNTIFS(Trades!B:B, "&lt;&gt;", Trades!C:C, "&gt;=01/01/2025", Trades!C:C, "&lt;=31/12/2025")</f>
        <v>0</v>
      </c>
      <c r="E40" s="104">
        <f>COUNTIFS(Trades!B:B, "&lt;&gt;",Trades!C:C, "&gt;=01/01/2025", Trades!C:C, "&lt;=31/01/2025")</f>
        <v>0</v>
      </c>
      <c r="F40" s="104">
        <f>COUNTIFS(Trades!B:B, "&lt;&gt;",Trades!C:C, "&gt;=01/02/2025", Trades!C:C, "&lt;=28/02/2025")</f>
        <v>0</v>
      </c>
      <c r="G40" s="104">
        <f>COUNTIFS(Trades!B:B, "&lt;&gt;",Trades!C:C, "&gt;=01/03/2025", Trades!C:C, "&lt;=31/03/2025")</f>
        <v>0</v>
      </c>
      <c r="H40" s="104">
        <f>COUNTIFS(Trades!B:B, "&lt;&gt;",Trades!C:C, "&gt;=01/04/2025", Trades!C:C, "&lt;=30/04/2025")</f>
        <v>0</v>
      </c>
      <c r="I40" s="104">
        <f>COUNTIFS(Trades!B:B, "&lt;&gt;",Trades!C:C, "&gt;=01/05/2025", Trades!C:C, "&lt;=31/05/2025")</f>
        <v>0</v>
      </c>
      <c r="J40" s="104">
        <f>COUNTIFS(Trades!B:B, "&lt;&gt;",Trades!C:C, "&gt;=01/06/2025", Trades!C:C, "&lt;=30/06/2025")</f>
        <v>0</v>
      </c>
      <c r="K40" s="104">
        <f>COUNTIFS(Trades!B:B, "&lt;&gt;",Trades!C:C, "&gt;=01/07/2025", Trades!C:C, "&lt;=31/07/2025")</f>
        <v>0</v>
      </c>
      <c r="L40" s="104">
        <f>COUNTIFS(Trades!B:B, "&lt;&gt;",Trades!C:C, "&gt;=01/08/2025", Trades!C:C, "&lt;=31/08/2025")</f>
        <v>0</v>
      </c>
      <c r="M40" s="104">
        <f>COUNTIFS(Trades!B:B, "&lt;&gt;",Trades!C:C, "&gt;=01/09/2025", Trades!C:C, "&lt;=30/09/2025")</f>
        <v>0</v>
      </c>
      <c r="N40" s="104">
        <f>COUNTIFS(Trades!B:B, "&lt;&gt;",Trades!C:C, "&gt;=01/10/2025", Trades!C:C, "&lt;=31/10/2025")</f>
        <v>0</v>
      </c>
      <c r="O40" s="104">
        <f>COUNTIFS(Trades!B:B, "&lt;&gt;",Trades!C:C, "&gt;=01/11/2025", Trades!C:C, "&lt;=30/11/2025")</f>
        <v>0</v>
      </c>
      <c r="P40" s="105">
        <f>COUNTIFS(Trades!B:B, "&lt;&gt;",Trades!C:C, "&gt;=01/12/2025", Trades!C:C, "&lt;=31/12/2025")</f>
        <v>0</v>
      </c>
    </row>
    <row r="41" spans="2:16" ht="15.75" customHeight="1" x14ac:dyDescent="0.25">
      <c r="B41" s="224" t="s">
        <v>138</v>
      </c>
      <c r="C41" s="225"/>
      <c r="D41" s="115">
        <f>COUNTIFS(Trades!K:K, "LONG", Trades!C:C, "&gt;=01/01/2025", Trades!C:C, "&lt;=31/12/2025")</f>
        <v>0</v>
      </c>
      <c r="E41" s="106">
        <f>COUNTIFS(Trades!K:K, "long",Trades!C:C, "&gt;=01/01/2025", Trades!C:C, "&lt;=31/01/2025")</f>
        <v>0</v>
      </c>
      <c r="F41" s="106">
        <f>COUNTIFS(Trades!K:K, "long",Trades!C:C, "&gt;=01/02/2025", Trades!C:C, "&lt;=28/02/2025")</f>
        <v>0</v>
      </c>
      <c r="G41" s="107">
        <f>COUNTIFS(Trades!K:K, "long",Trades!C:C, "&gt;=01/03/2025", Trades!C:C, "&lt;=31/03/2025")</f>
        <v>0</v>
      </c>
      <c r="H41" s="106">
        <f>COUNTIFS(Trades!K:K, "long",Trades!C:C, "&gt;=01/04/2025", Trades!C:C, "&lt;=30/04/2025")</f>
        <v>0</v>
      </c>
      <c r="I41" s="106">
        <f>COUNTIFS(Trades!K:K, "long",Trades!C:C, "&gt;=01/05/2025", Trades!C:C, "&lt;=31/05/2025")</f>
        <v>0</v>
      </c>
      <c r="J41" s="106">
        <f>COUNTIFS(Trades!K:K, "long",Trades!C:C, "&gt;=01/06/2025", Trades!C:C, "&lt;=30/06/2025")</f>
        <v>0</v>
      </c>
      <c r="K41" s="106">
        <f>COUNTIFS(Trades!K:K, "long",Trades!C:C, "&gt;=01/07/2025", Trades!C:C, "&lt;=31/07/2025")</f>
        <v>0</v>
      </c>
      <c r="L41" s="106">
        <f>COUNTIFS(Trades!K:K, "long",Trades!C:C, "&gt;=01/08/2025", Trades!C:C, "&lt;=31/08/2025")</f>
        <v>0</v>
      </c>
      <c r="M41" s="106">
        <f>COUNTIFS(Trades!K:K, "long",Trades!C:C, "&gt;=01/09/2025", Trades!C:C, "&lt;=30/09/2025")</f>
        <v>0</v>
      </c>
      <c r="N41" s="106">
        <f>COUNTIFS(Trades!K:K, "long",Trades!C:C, "&gt;=01/10/2025", Trades!C:C, "&lt;=31/10/2025")</f>
        <v>0</v>
      </c>
      <c r="O41" s="106">
        <f>COUNTIFS(Trades!K:K, "long",Trades!C:C, "&gt;=01/11/2025", Trades!C:C, "&lt;=30/11/2025")</f>
        <v>0</v>
      </c>
      <c r="P41" s="108">
        <f>COUNTIFS(Trades!K:K, "long",Trades!C:C, "&gt;=01/12/2025", Trades!C:C, "&lt;=31/12/2025")</f>
        <v>0</v>
      </c>
    </row>
    <row r="42" spans="2:16" ht="15.75" customHeight="1" x14ac:dyDescent="0.25">
      <c r="B42" s="224" t="s">
        <v>139</v>
      </c>
      <c r="C42" s="225"/>
      <c r="D42" s="115">
        <f>COUNTIFS(Trades!K:K, "short", Trades!C:C, "&gt;=01/01/2025", Trades!C:C, "&lt;=31/12/2025")</f>
        <v>0</v>
      </c>
      <c r="E42" s="106">
        <f>COUNTIFS(Trades!K:K, "short",Trades!C:C, "&gt;=01/01/2025", Trades!C:C, "&lt;=31/01/2025")</f>
        <v>0</v>
      </c>
      <c r="F42" s="106">
        <f>COUNTIFS(Trades!K:K, "short",Trades!C:C, "&gt;=01/02/2025", Trades!C:C, "&lt;=28/02/2025")</f>
        <v>0</v>
      </c>
      <c r="G42" s="106">
        <f>COUNTIFS(Trades!K:K, "short",Trades!C:C, "&gt;=01/03/2025", Trades!C:C, "&lt;=31/03/2025")</f>
        <v>0</v>
      </c>
      <c r="H42" s="107">
        <f>COUNTIFS(Trades!K:K, "short",Trades!C:C, "&gt;=01/04/2025", Trades!C:C, "&lt;=30/04/2025")</f>
        <v>0</v>
      </c>
      <c r="I42" s="106">
        <f>COUNTIFS(Trades!K:K, "short",Trades!C:C, "&gt;=01/05/2025", Trades!C:C, "&lt;=31/05/2025")</f>
        <v>0</v>
      </c>
      <c r="J42" s="106">
        <f>COUNTIFS(Trades!K:K, "short",Trades!C:C, "&gt;=01/06/2025", Trades!C:C, "&lt;=30/06/2025")</f>
        <v>0</v>
      </c>
      <c r="K42" s="106">
        <f>COUNTIFS(Trades!K:K, "short",Trades!C:C, "&gt;=01/07/2025", Trades!C:C, "&lt;=31/07/2025")</f>
        <v>0</v>
      </c>
      <c r="L42" s="106">
        <f>COUNTIFS(Trades!K:K, "short",Trades!C:C, "&gt;=01/08/2025", Trades!C:C, "&lt;=31/08/2025")</f>
        <v>0</v>
      </c>
      <c r="M42" s="106">
        <f>COUNTIFS(Trades!K:K, "short",Trades!C:C, "&gt;=01/09/2025", Trades!C:C, "&lt;=30/09/2025")</f>
        <v>0</v>
      </c>
      <c r="N42" s="106">
        <f>COUNTIFS(Trades!K:K, "short",Trades!C:C, "&gt;=01/10/2025", Trades!C:C, "&lt;=31/10/2025")</f>
        <v>0</v>
      </c>
      <c r="O42" s="106">
        <f>COUNTIFS(Trades!K:K, "short",Trades!C:C, "&gt;=01/11/2025", Trades!C:C, "&lt;=30/11/2025")</f>
        <v>0</v>
      </c>
      <c r="P42" s="108">
        <f>COUNTIFS(Trades!K:K, "short",Trades!C:C, "&gt;=01/12/2025", Trades!C:C, "&lt;=31/12/2025")</f>
        <v>0</v>
      </c>
    </row>
    <row r="43" spans="2:16" ht="15.75" customHeight="1" x14ac:dyDescent="0.25">
      <c r="B43" s="224"/>
      <c r="C43" s="225"/>
      <c r="D43" s="115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8"/>
    </row>
    <row r="44" spans="2:16" ht="15.75" customHeight="1" x14ac:dyDescent="0.25">
      <c r="B44" s="224" t="s">
        <v>140</v>
      </c>
      <c r="C44" s="225"/>
      <c r="D44" s="115">
        <f>COUNTIFS(Trades!X:X, "win", Trades!C:C, "&gt;=01/01/2025", Trades!C:C, "&lt;=31/12/2025")</f>
        <v>0</v>
      </c>
      <c r="E44" s="106">
        <f>COUNTIFS(Trades!X:X, "win",Trades!C:C, "&gt;=01/01/2025", Trades!C:C, "&lt;=31/01/2025")</f>
        <v>0</v>
      </c>
      <c r="F44" s="106">
        <f>COUNTIFS(Trades!X:X, "win",Trades!C:C, "&gt;=01/02/2025", Trades!C:C, "&lt;=28/02/2025")</f>
        <v>0</v>
      </c>
      <c r="G44" s="106">
        <f>COUNTIFS(Trades!X:X, "win",Trades!C:C, "&gt;=01/03/2025", Trades!C:C, "&lt;=31/03/2025")</f>
        <v>0</v>
      </c>
      <c r="H44" s="106">
        <f>COUNTIFS(Trades!X:X, "win",Trades!C:C, "&gt;=01/04/2025", Trades!C:C, "&lt;=30/04/2025")</f>
        <v>0</v>
      </c>
      <c r="I44" s="106">
        <f>COUNTIFS(Trades!X:X, "win",Trades!C:C, "&gt;=01/05/2025", Trades!C:C, "&lt;=31/05/2025")</f>
        <v>0</v>
      </c>
      <c r="J44" s="106">
        <f>COUNTIFS(Trades!X:X, "win",Trades!C:C, "&gt;=01/06/2025", Trades!C:C, "&lt;=30/06/2025")</f>
        <v>0</v>
      </c>
      <c r="K44" s="106">
        <f>COUNTIFS(Trades!X:X, "win",Trades!C:C, "&gt;=01/07/2025", Trades!C:C, "&lt;=31/07/2025")</f>
        <v>0</v>
      </c>
      <c r="L44" s="106">
        <f>COUNTIFS(Trades!X:X, "win",Trades!C:C, "&gt;=01/08/2025", Trades!C:C, "&lt;=31/08/2025")</f>
        <v>0</v>
      </c>
      <c r="M44" s="106">
        <f>COUNTIFS(Trades!X:X, "win",Trades!C:C, "&gt;=01/09/2025", Trades!C:C, "&lt;=30/09/2025")</f>
        <v>0</v>
      </c>
      <c r="N44" s="106">
        <f>COUNTIFS(Trades!X:X, "win",Trades!C:C, "&gt;=01/10/2025", Trades!C:C, "&lt;=31/10/2025")</f>
        <v>0</v>
      </c>
      <c r="O44" s="106">
        <f>COUNTIFS(Trades!X:X, "win",Trades!C:C, "&gt;=01/11/2025", Trades!C:C, "&lt;=30/11/2025")</f>
        <v>0</v>
      </c>
      <c r="P44" s="108">
        <f>COUNTIFS(Trades!X:X, "win",Trades!C:C, "&gt;=01/12/2025", Trades!C:C, "&lt;=31/12/2025")</f>
        <v>0</v>
      </c>
    </row>
    <row r="45" spans="2:16" ht="15.75" customHeight="1" x14ac:dyDescent="0.25">
      <c r="B45" s="224" t="s">
        <v>141</v>
      </c>
      <c r="C45" s="225"/>
      <c r="D45" s="115">
        <f>COUNTIFS(Trades!X:X, "loss", Trades!C:C, "&gt;=01/01/2025", Trades!C:C, "&lt;=31/12/2025")</f>
        <v>0</v>
      </c>
      <c r="E45" s="106">
        <f>COUNTIFS(Trades!X:X, "loss",Trades!C:C, "&gt;=01/01/2025", Trades!C:C, "&lt;=31/01/2025")</f>
        <v>0</v>
      </c>
      <c r="F45" s="106">
        <f>COUNTIFS(Trades!X:X, "loss",Trades!C:C, "&gt;=01/02/2025", Trades!C:C, "&lt;=28/02/2025")</f>
        <v>0</v>
      </c>
      <c r="G45" s="106">
        <f>COUNTIFS(Trades!X:X, "loss",Trades!C:C, "&gt;=01/03/2025", Trades!C:C, "&lt;=31/03/2025")</f>
        <v>0</v>
      </c>
      <c r="H45" s="106">
        <f>COUNTIFS(Trades!X:X, "loss",Trades!C:C, "&gt;=01/04/2025", Trades!C:C, "&lt;=30/04/2025")</f>
        <v>0</v>
      </c>
      <c r="I45" s="106">
        <f>COUNTIFS(Trades!X:X, "loss",Trades!C:C, "&gt;=01/05/2025", Trades!C:C, "&lt;=31/05/2025")</f>
        <v>0</v>
      </c>
      <c r="J45" s="106">
        <f>COUNTIFS(Trades!X:X, "loss",Trades!C:C, "&gt;=01/06/2025", Trades!C:C, "&lt;=30/06/2025")</f>
        <v>0</v>
      </c>
      <c r="K45" s="106">
        <f>COUNTIFS(Trades!X:X, "loss",Trades!C:C, "&gt;=01/07/2025", Trades!C:C, "&lt;=31/07/2025")</f>
        <v>0</v>
      </c>
      <c r="L45" s="106">
        <f>COUNTIFS(Trades!X:X, "loss",Trades!C:C, "&gt;=01/08/2025", Trades!C:C, "&lt;=31/08/2025")</f>
        <v>0</v>
      </c>
      <c r="M45" s="106">
        <f>COUNTIFS(Trades!X:X, "loss",Trades!C:C, "&gt;=01/09/2025", Trades!C:C, "&lt;=30/09/2025")</f>
        <v>0</v>
      </c>
      <c r="N45" s="106">
        <f>COUNTIFS(Trades!X:X, "loss",Trades!C:C, "&gt;=01/10/2025", Trades!C:C, "&lt;=31/10/2025")</f>
        <v>0</v>
      </c>
      <c r="O45" s="106">
        <f>COUNTIFS(Trades!X:X, "loss",Trades!C:C, "&gt;=01/11/2025", Trades!C:C, "&lt;=30/11/2025")</f>
        <v>0</v>
      </c>
      <c r="P45" s="108">
        <f>COUNTIFS(Trades!X:X, "loss",Trades!C:C, "&gt;=01/12/2025", Trades!C:C, "&lt;=31/12/2025")</f>
        <v>0</v>
      </c>
    </row>
    <row r="46" spans="2:16" ht="15.75" customHeight="1" x14ac:dyDescent="0.25">
      <c r="B46" s="224" t="s">
        <v>85</v>
      </c>
      <c r="C46" s="225"/>
      <c r="D46" s="116" t="str">
        <f>IF(D44+D45=0,"",SUM(D44/(D44+D45)))</f>
        <v/>
      </c>
      <c r="E46" s="109" t="str">
        <f t="shared" ref="E46:P46" si="6">IF(E44+E45=0, "", E44/(E44+E45))</f>
        <v/>
      </c>
      <c r="F46" s="109" t="str">
        <f t="shared" si="6"/>
        <v/>
      </c>
      <c r="G46" s="109" t="str">
        <f t="shared" si="6"/>
        <v/>
      </c>
      <c r="H46" s="109" t="str">
        <f t="shared" si="6"/>
        <v/>
      </c>
      <c r="I46" s="109" t="str">
        <f t="shared" si="6"/>
        <v/>
      </c>
      <c r="J46" s="109" t="str">
        <f t="shared" si="6"/>
        <v/>
      </c>
      <c r="K46" s="109" t="str">
        <f t="shared" si="6"/>
        <v/>
      </c>
      <c r="L46" s="109" t="str">
        <f t="shared" si="6"/>
        <v/>
      </c>
      <c r="M46" s="109" t="str">
        <f t="shared" si="6"/>
        <v/>
      </c>
      <c r="N46" s="109" t="str">
        <f t="shared" si="6"/>
        <v/>
      </c>
      <c r="O46" s="109" t="str">
        <f t="shared" si="6"/>
        <v/>
      </c>
      <c r="P46" s="110" t="str">
        <f t="shared" si="6"/>
        <v/>
      </c>
    </row>
    <row r="47" spans="2:16" ht="15.75" customHeight="1" x14ac:dyDescent="0.25">
      <c r="B47" s="119"/>
      <c r="C47" s="120"/>
      <c r="D47" s="115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8"/>
    </row>
    <row r="48" spans="2:16" ht="15.75" customHeight="1" x14ac:dyDescent="0.25">
      <c r="B48" s="224" t="s">
        <v>142</v>
      </c>
      <c r="C48" s="225"/>
      <c r="D48" s="117">
        <f>SUM(E48:P48)</f>
        <v>0</v>
      </c>
      <c r="E48" s="109">
        <f>SUMIFS(Trades!V:V, Trades!C:C, "&gt;=01/01/2025", Trades!C:C, "&lt;=31/01/2025", Trades!V:V, "&gt;0")</f>
        <v>0</v>
      </c>
      <c r="F48" s="111">
        <f>SUMIFS(Trades!V:V, Trades!C:C, "&gt;=01/02/2025", Trades!C:C, "&lt;=28/02/2025", Trades!V:V, "&gt;0")</f>
        <v>0</v>
      </c>
      <c r="G48" s="111">
        <f>SUMIFS(Trades!V:V, Trades!C:C, "&gt;=01/03/2025", Trades!C:C, "&lt;=31/03/2025", Trades!V:V, "&gt;0")</f>
        <v>0</v>
      </c>
      <c r="H48" s="111">
        <f>SUMIFS(Trades!V:V, Trades!C:C, "&gt;=01/04/2025", Trades!C:C, "&lt;=30/04/2025", Trades!V:V, "&gt;0")</f>
        <v>0</v>
      </c>
      <c r="I48" s="111">
        <f>SUMIFS(Trades!V:V, Trades!C:C, "&gt;=01/05/2025", Trades!C:C, "&lt;=31/05/2025", Trades!V:V, "&gt;0")</f>
        <v>0</v>
      </c>
      <c r="J48" s="111">
        <f>SUMIFS(Trades!V:V, Trades!C:C, "&gt;=01/06/2025", Trades!C:C, "&lt;=30/06/2025", Trades!V:V, "&gt;0")</f>
        <v>0</v>
      </c>
      <c r="K48" s="111">
        <f>SUMIFS(Trades!V:V, Trades!C:C, "&gt;=01/07/2025", Trades!C:C, "&lt;=31/07/2025", Trades!V:V, "&gt;0")</f>
        <v>0</v>
      </c>
      <c r="L48" s="111">
        <f>SUMIFS(Trades!V:V, Trades!C:C, "&gt;=01/08/2025", Trades!C:C, "&lt;=31/08/2025", Trades!V:V, "&gt;0")</f>
        <v>0</v>
      </c>
      <c r="M48" s="111">
        <f>SUMIFS(Trades!V:V, Trades!C:C, "&gt;=01/09/2025", Trades!C:C, "&lt;=30/09/2025", Trades!V:V, "&gt;0")</f>
        <v>0</v>
      </c>
      <c r="N48" s="111">
        <f>SUMIFS(Trades!V:V, Trades!C:C, "&gt;=01/10/2025", Trades!C:C, "&lt;=31/10/2025", Trades!V:V, "&gt;0")</f>
        <v>0</v>
      </c>
      <c r="O48" s="111">
        <f>SUMIFS(Trades!V:V, Trades!C:C, "&gt;=01/11/2025", Trades!C:C, "&lt;=30/11/2025", Trades!V:V, "&gt;0")</f>
        <v>0</v>
      </c>
      <c r="P48" s="112">
        <f>SUMIFS(Trades!V:V, Trades!C:C, "&gt;=01/12/2025", Trades!C:C, "&lt;=31/12/2025", Trades!V:V, "&gt;0")</f>
        <v>0</v>
      </c>
    </row>
    <row r="49" spans="2:16" ht="15.75" customHeight="1" x14ac:dyDescent="0.25">
      <c r="B49" s="224" t="s">
        <v>143</v>
      </c>
      <c r="C49" s="225"/>
      <c r="D49" s="117">
        <f>SUM(E49:P49)</f>
        <v>0</v>
      </c>
      <c r="E49" s="111">
        <f>SUMIFS(Trades!V:V, Trades!C:C, "&gt;=01/01/2025", Trades!C:C, "&lt;=31/01/2025", Trades!V:V, "&lt;0")</f>
        <v>0</v>
      </c>
      <c r="F49" s="111">
        <f>SUMIFS(Trades!V:V, Trades!C:C, "&gt;=01/02/2025", Trades!C:C, "&lt;=28/02/2025", Trades!V:V, "&lt;0")</f>
        <v>0</v>
      </c>
      <c r="G49" s="111">
        <f>SUMIFS(Trades!V:V, Trades!C:C, "&gt;=01/03/2025", Trades!C:C, "&lt;=31/03/2025", Trades!V:V, "&lt;0")</f>
        <v>0</v>
      </c>
      <c r="H49" s="111">
        <f>SUMIFS(Trades!V:V, Trades!C:C, "&gt;=01/04/2025", Trades!C:C, "&lt;=30/04/2025", Trades!V:V, "&lt;0")</f>
        <v>0</v>
      </c>
      <c r="I49" s="111">
        <f>SUMIFS(Trades!V:V, Trades!C:C, "&gt;=01/05/2025", Trades!C:C, "&lt;=31/05/2025", Trades!V:V, "&lt;0")</f>
        <v>0</v>
      </c>
      <c r="J49" s="111">
        <f>SUMIFS(Trades!V:V, Trades!C:C, "&gt;=01/06/2025", Trades!C:C, "&lt;=30/06/2025", Trades!V:V, "&lt;0")</f>
        <v>0</v>
      </c>
      <c r="K49" s="111">
        <f>SUMIFS(Trades!V:V, Trades!C:C, "&gt;=01/07/2025", Trades!C:C, "&lt;=31/07/2025", Trades!V:V, "&lt;0")</f>
        <v>0</v>
      </c>
      <c r="L49" s="111">
        <f>SUMIFS(Trades!V:V, Trades!C:C, "&gt;=01/08/2025", Trades!C:C, "&lt;=31/08/2025", Trades!V:V, "&lt;0")</f>
        <v>0</v>
      </c>
      <c r="M49" s="111">
        <f>SUMIFS(Trades!V:V, Trades!C:C, "&gt;=01/09/2025", Trades!C:C, "&lt;=30/09/2025", Trades!V:V, "&lt;0")</f>
        <v>0</v>
      </c>
      <c r="N49" s="111">
        <f>SUMIFS(Trades!V:V, Trades!C:C, "&gt;=01/10/2025", Trades!C:C, "&lt;=31/10/2025", Trades!V:V, "&lt;0")</f>
        <v>0</v>
      </c>
      <c r="O49" s="111">
        <f>SUMIFS(Trades!V:V, Trades!C:C, "&gt;=01/11/2025", Trades!C:C, "&lt;=30/11/2025", Trades!V:V, "&lt;0")</f>
        <v>0</v>
      </c>
      <c r="P49" s="112">
        <f>SUMIFS(Trades!V:V, Trades!C:C, "&gt;=01/12/2025", Trades!C:C, "&lt;=31/12/2025", Trades!V:V, "&lt;0")</f>
        <v>0</v>
      </c>
    </row>
    <row r="50" spans="2:16" ht="15.75" customHeight="1" x14ac:dyDescent="0.25">
      <c r="B50" s="224" t="s">
        <v>144</v>
      </c>
      <c r="C50" s="225"/>
      <c r="D50" s="117" t="str">
        <f t="shared" ref="D50:P50" si="7">IF((D48+D49=0%), "", SUM(D48, D49))</f>
        <v/>
      </c>
      <c r="E50" s="111" t="str">
        <f t="shared" si="7"/>
        <v/>
      </c>
      <c r="F50" s="111" t="str">
        <f t="shared" si="7"/>
        <v/>
      </c>
      <c r="G50" s="111" t="str">
        <f t="shared" si="7"/>
        <v/>
      </c>
      <c r="H50" s="111" t="str">
        <f t="shared" si="7"/>
        <v/>
      </c>
      <c r="I50" s="111" t="str">
        <f t="shared" si="7"/>
        <v/>
      </c>
      <c r="J50" s="111" t="str">
        <f t="shared" si="7"/>
        <v/>
      </c>
      <c r="K50" s="111" t="str">
        <f t="shared" si="7"/>
        <v/>
      </c>
      <c r="L50" s="111" t="str">
        <f t="shared" si="7"/>
        <v/>
      </c>
      <c r="M50" s="111" t="str">
        <f t="shared" si="7"/>
        <v/>
      </c>
      <c r="N50" s="111" t="str">
        <f t="shared" si="7"/>
        <v/>
      </c>
      <c r="O50" s="111" t="str">
        <f t="shared" si="7"/>
        <v/>
      </c>
      <c r="P50" s="111" t="str">
        <f t="shared" si="7"/>
        <v/>
      </c>
    </row>
    <row r="51" spans="2:16" ht="15.75" customHeight="1" x14ac:dyDescent="0.25">
      <c r="B51" s="160"/>
      <c r="C51" s="159"/>
      <c r="D51" s="11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8"/>
    </row>
    <row r="52" spans="2:16" ht="16.5" customHeight="1" thickBot="1" x14ac:dyDescent="0.3">
      <c r="B52" s="226" t="s">
        <v>145</v>
      </c>
      <c r="C52" s="227"/>
      <c r="D52" s="118">
        <f>IF(D50="",Trades!R2,Trades!R2+D50)</f>
        <v>1</v>
      </c>
      <c r="E52" s="113">
        <f>IF(E50=0%,Trades!R2,SUM(Trades!R2,E50))</f>
        <v>1</v>
      </c>
      <c r="F52" s="113">
        <f t="shared" ref="F52:P52" si="8">IF(F50=0%,E52,SUM(E52,F50))</f>
        <v>1</v>
      </c>
      <c r="G52" s="113">
        <f t="shared" si="8"/>
        <v>1</v>
      </c>
      <c r="H52" s="113">
        <f t="shared" si="8"/>
        <v>1</v>
      </c>
      <c r="I52" s="113">
        <f t="shared" si="8"/>
        <v>1</v>
      </c>
      <c r="J52" s="113">
        <f t="shared" si="8"/>
        <v>1</v>
      </c>
      <c r="K52" s="113">
        <f t="shared" si="8"/>
        <v>1</v>
      </c>
      <c r="L52" s="113">
        <f t="shared" si="8"/>
        <v>1</v>
      </c>
      <c r="M52" s="113">
        <f t="shared" si="8"/>
        <v>1</v>
      </c>
      <c r="N52" s="113">
        <f t="shared" si="8"/>
        <v>1</v>
      </c>
      <c r="O52" s="113">
        <f t="shared" si="8"/>
        <v>1</v>
      </c>
      <c r="P52" s="113">
        <f t="shared" si="8"/>
        <v>1</v>
      </c>
    </row>
  </sheetData>
  <sheetProtection sheet="1" objects="1" scenarios="1" selectLockedCells="1"/>
  <mergeCells count="36">
    <mergeCell ref="B1:Q2"/>
    <mergeCell ref="B44:C44"/>
    <mergeCell ref="B38:C38"/>
    <mergeCell ref="B29:C29"/>
    <mergeCell ref="B19:C19"/>
    <mergeCell ref="B34:C34"/>
    <mergeCell ref="B28:C28"/>
    <mergeCell ref="B40:C40"/>
    <mergeCell ref="B9:C9"/>
    <mergeCell ref="B24:C24"/>
    <mergeCell ref="B30:C30"/>
    <mergeCell ref="B15:C15"/>
    <mergeCell ref="B33:C33"/>
    <mergeCell ref="B36:C36"/>
    <mergeCell ref="B32:C32"/>
    <mergeCell ref="B26:C26"/>
    <mergeCell ref="B46:C46"/>
    <mergeCell ref="B43:C43"/>
    <mergeCell ref="B12:C12"/>
    <mergeCell ref="B52:C52"/>
    <mergeCell ref="B48:C48"/>
    <mergeCell ref="B42:C42"/>
    <mergeCell ref="B17:C17"/>
    <mergeCell ref="B13:C13"/>
    <mergeCell ref="B49:C49"/>
    <mergeCell ref="B45:C45"/>
    <mergeCell ref="B50:C50"/>
    <mergeCell ref="B41:C41"/>
    <mergeCell ref="E4:P4"/>
    <mergeCell ref="E38:P38"/>
    <mergeCell ref="B16:C16"/>
    <mergeCell ref="B7:C7"/>
    <mergeCell ref="B25:C25"/>
    <mergeCell ref="B11:C11"/>
    <mergeCell ref="B8:C8"/>
    <mergeCell ref="B4:C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CurrentMonth</vt:lpstr>
      <vt:lpstr>AugustAnalysis</vt:lpstr>
      <vt:lpstr>Pivot</vt:lpstr>
      <vt:lpstr>Trades</vt:lpstr>
      <vt:lpstr>Tools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Quinton Sorensen</cp:lastModifiedBy>
  <dcterms:created xsi:type="dcterms:W3CDTF">2023-02-25T17:05:17Z</dcterms:created>
  <dcterms:modified xsi:type="dcterms:W3CDTF">2024-08-13T19:50:49Z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2023-03-10T16:16:56Z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04bf1f1c-5269-4c6c-85ed-f7f57608a63a</vt:lpwstr>
  </property>
  <property fmtid="{D5CDD505-2E9C-101B-9397-08002B2CF9AE}" pid="8" name="MSIP_Label_c337be75-dfbb-4261-9834-ac247c7dde13_ContentBits">
    <vt:lpwstr>0</vt:lpwstr>
  </property>
</Properties>
</file>