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ằng 2026\DC2\"/>
    </mc:Choice>
  </mc:AlternateContent>
  <bookViews>
    <workbookView xWindow="0" yWindow="0" windowWidth="28800" windowHeight="10935" activeTab="7"/>
  </bookViews>
  <sheets>
    <sheet name="T1.2026" sheetId="5" r:id="rId1"/>
    <sheet name="T3.2026" sheetId="1" r:id="rId2"/>
    <sheet name="T4.2026" sheetId="2" r:id="rId3"/>
    <sheet name="T5.2026" sheetId="3" r:id="rId4"/>
    <sheet name="T6.2026" sheetId="6" r:id="rId5"/>
    <sheet name="6 tháng đầu năm" sheetId="4" r:id="rId6"/>
    <sheet name="T7.2026" sheetId="7" r:id="rId7"/>
    <sheet name="T8.2026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5">'6 tháng đầu năm'!$A$1:$M$203</definedName>
    <definedName name="_xlnm.Print_Area" localSheetId="0">T1.2026!$A$1:$M$191</definedName>
    <definedName name="_xlnm.Print_Area" localSheetId="1">T3.2026!$A$1:$M$151</definedName>
    <definedName name="_xlnm.Print_Area" localSheetId="2">T4.2026!$A$1:$M$180</definedName>
    <definedName name="_xlnm.Print_Area" localSheetId="3">T5.2026!$A$1:$M$151</definedName>
    <definedName name="_xlnm.Print_Area" localSheetId="4">T6.2026!$A$1:$M$170</definedName>
    <definedName name="_xlnm.Print_Area" localSheetId="6">T7.2026!$A$1:$M$137</definedName>
    <definedName name="_xlnm.Print_Area" localSheetId="7">T8.2026!$A$1:$M$190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3" i="8" l="1"/>
  <c r="J118" i="8"/>
  <c r="F89" i="8" l="1"/>
  <c r="J14" i="8"/>
  <c r="K14" i="8"/>
  <c r="C25" i="8"/>
  <c r="J26" i="8"/>
  <c r="K26" i="8"/>
  <c r="C13" i="8"/>
  <c r="C19" i="8"/>
  <c r="J20" i="8"/>
  <c r="K20" i="8"/>
  <c r="C17" i="8"/>
  <c r="J22" i="6"/>
  <c r="J24" i="6"/>
  <c r="C11" i="8"/>
  <c r="F28" i="8"/>
  <c r="D28" i="8"/>
  <c r="F22" i="8"/>
  <c r="D22" i="8"/>
  <c r="D14" i="8"/>
  <c r="D20" i="8"/>
  <c r="F16" i="8"/>
  <c r="E16" i="8"/>
  <c r="D16" i="8"/>
  <c r="Q13" i="8" l="1"/>
  <c r="E17" i="8" l="1"/>
  <c r="E19" i="8" s="1"/>
  <c r="E21" i="8" s="1"/>
  <c r="E23" i="8" s="1"/>
  <c r="E25" i="8" s="1"/>
  <c r="E18" i="8"/>
  <c r="E20" i="8" s="1"/>
  <c r="E22" i="8" s="1"/>
  <c r="E24" i="8" s="1"/>
  <c r="E26" i="8" s="1"/>
  <c r="G13" i="8"/>
  <c r="I19" i="8"/>
  <c r="G19" i="8"/>
  <c r="D17" i="8" l="1"/>
  <c r="G11" i="8"/>
  <c r="O48" i="8" l="1"/>
  <c r="R173" i="8" l="1"/>
  <c r="S52" i="8" l="1"/>
  <c r="S51" i="8"/>
  <c r="G148" i="8"/>
  <c r="J129" i="8"/>
  <c r="I129" i="8"/>
  <c r="J124" i="8"/>
  <c r="O115" i="8"/>
  <c r="O133" i="8" l="1"/>
  <c r="O134" i="8" s="1"/>
  <c r="I166" i="8"/>
  <c r="F82" i="8" l="1"/>
  <c r="B82" i="8"/>
  <c r="E77" i="8"/>
  <c r="G77" i="8"/>
  <c r="I77" i="8"/>
  <c r="E75" i="8"/>
  <c r="G75" i="8"/>
  <c r="I75" i="8"/>
  <c r="E73" i="8"/>
  <c r="G73" i="8"/>
  <c r="I73" i="8"/>
  <c r="E71" i="8"/>
  <c r="G71" i="8"/>
  <c r="I71" i="8"/>
  <c r="E69" i="8"/>
  <c r="G69" i="8"/>
  <c r="I69" i="8"/>
  <c r="E67" i="8"/>
  <c r="G67" i="8"/>
  <c r="I67" i="8"/>
  <c r="E65" i="8"/>
  <c r="G65" i="8"/>
  <c r="I65" i="8"/>
  <c r="E63" i="8"/>
  <c r="G63" i="8"/>
  <c r="I63" i="8"/>
  <c r="C77" i="8" l="1"/>
  <c r="H76" i="8"/>
  <c r="C75" i="8"/>
  <c r="H74" i="8"/>
  <c r="C73" i="8"/>
  <c r="H72" i="8"/>
  <c r="C71" i="8"/>
  <c r="H70" i="8"/>
  <c r="B77" i="8" l="1"/>
  <c r="D77" i="8"/>
  <c r="H77" i="8"/>
  <c r="F77" i="8"/>
  <c r="H75" i="8"/>
  <c r="F75" i="8"/>
  <c r="B75" i="8"/>
  <c r="D75" i="8"/>
  <c r="H73" i="8"/>
  <c r="D73" i="8"/>
  <c r="B73" i="8"/>
  <c r="F73" i="8"/>
  <c r="F71" i="8"/>
  <c r="H71" i="8"/>
  <c r="D71" i="8"/>
  <c r="B71" i="8"/>
  <c r="G166" i="8"/>
  <c r="G147" i="6"/>
  <c r="I147" i="6"/>
  <c r="I157" i="8"/>
  <c r="I23" i="8"/>
  <c r="E56" i="8"/>
  <c r="G56" i="8"/>
  <c r="I56" i="8"/>
  <c r="D57" i="8"/>
  <c r="K56" i="8"/>
  <c r="C56" i="8"/>
  <c r="D42" i="8"/>
  <c r="E42" i="8"/>
  <c r="G42" i="8"/>
  <c r="I42" i="8"/>
  <c r="H55" i="8" l="1"/>
  <c r="F56" i="8" s="1"/>
  <c r="F57" i="8"/>
  <c r="B57" i="8"/>
  <c r="F42" i="8"/>
  <c r="B42" i="8"/>
  <c r="B56" i="8" l="1"/>
  <c r="H56" i="8"/>
  <c r="D56" i="8"/>
  <c r="I13" i="7" l="1"/>
  <c r="I110" i="7"/>
  <c r="G13" i="7"/>
  <c r="I17" i="8"/>
  <c r="F20" i="8" l="1"/>
  <c r="M18" i="8"/>
  <c r="G17" i="8"/>
  <c r="G21" i="8" s="1"/>
  <c r="I108" i="7"/>
  <c r="C65" i="8"/>
  <c r="H64" i="8"/>
  <c r="C63" i="8"/>
  <c r="H62" i="8"/>
  <c r="C69" i="8"/>
  <c r="H68" i="8"/>
  <c r="C67" i="8"/>
  <c r="H66" i="8"/>
  <c r="N22" i="8"/>
  <c r="N16" i="8"/>
  <c r="R172" i="8"/>
  <c r="R174" i="8" s="1"/>
  <c r="H168" i="8"/>
  <c r="K167" i="8"/>
  <c r="Q166" i="8"/>
  <c r="K165" i="8"/>
  <c r="I164" i="8"/>
  <c r="G164" i="8" s="1"/>
  <c r="C164" i="8" s="1"/>
  <c r="Q163" i="8"/>
  <c r="Q164" i="8" s="1"/>
  <c r="H159" i="8"/>
  <c r="K158" i="8"/>
  <c r="G157" i="8"/>
  <c r="K156" i="8"/>
  <c r="I155" i="8"/>
  <c r="G155" i="8" s="1"/>
  <c r="H129" i="8"/>
  <c r="G129" i="8"/>
  <c r="F129" i="8"/>
  <c r="E129" i="8"/>
  <c r="D129" i="8"/>
  <c r="J128" i="8"/>
  <c r="J127" i="8"/>
  <c r="J126" i="8"/>
  <c r="J125" i="8"/>
  <c r="J123" i="8"/>
  <c r="J122" i="8"/>
  <c r="P121" i="8"/>
  <c r="O112" i="8"/>
  <c r="R100" i="8"/>
  <c r="R99" i="8"/>
  <c r="Q87" i="8"/>
  <c r="I82" i="8"/>
  <c r="G82" i="8"/>
  <c r="G81" i="8" s="1"/>
  <c r="E82" i="8"/>
  <c r="D82" i="8"/>
  <c r="C82" i="8"/>
  <c r="C81" i="8" s="1"/>
  <c r="C83" i="8" s="1"/>
  <c r="I81" i="8"/>
  <c r="I83" i="8" s="1"/>
  <c r="H80" i="8"/>
  <c r="I79" i="8"/>
  <c r="E79" i="8"/>
  <c r="C79" i="8"/>
  <c r="H78" i="8"/>
  <c r="F79" i="8" s="1"/>
  <c r="K58" i="8"/>
  <c r="I58" i="8"/>
  <c r="G58" i="8"/>
  <c r="E58" i="8"/>
  <c r="C58" i="8"/>
  <c r="K54" i="8"/>
  <c r="I54" i="8"/>
  <c r="G54" i="8"/>
  <c r="E54" i="8"/>
  <c r="C54" i="8"/>
  <c r="H53" i="8"/>
  <c r="H54" i="8" s="1"/>
  <c r="K52" i="8"/>
  <c r="I52" i="8"/>
  <c r="G52" i="8"/>
  <c r="E52" i="8"/>
  <c r="C52" i="8"/>
  <c r="H51" i="8"/>
  <c r="H52" i="8" s="1"/>
  <c r="K50" i="8"/>
  <c r="I50" i="8"/>
  <c r="G50" i="8"/>
  <c r="C50" i="8"/>
  <c r="H49" i="8"/>
  <c r="B50" i="8" s="1"/>
  <c r="K48" i="8"/>
  <c r="I48" i="8"/>
  <c r="G48" i="8"/>
  <c r="E48" i="8"/>
  <c r="C48" i="8"/>
  <c r="H47" i="8"/>
  <c r="C42" i="8"/>
  <c r="I41" i="8"/>
  <c r="G41" i="8"/>
  <c r="E41" i="8"/>
  <c r="C41" i="8"/>
  <c r="H40" i="8"/>
  <c r="I39" i="8"/>
  <c r="G39" i="8"/>
  <c r="E39" i="8"/>
  <c r="C39" i="8"/>
  <c r="H38" i="8"/>
  <c r="I37" i="8"/>
  <c r="G37" i="8"/>
  <c r="E37" i="8"/>
  <c r="C37" i="8"/>
  <c r="H36" i="8"/>
  <c r="H34" i="8"/>
  <c r="N28" i="8"/>
  <c r="G25" i="8"/>
  <c r="I25" i="8" s="1"/>
  <c r="K24" i="8"/>
  <c r="G23" i="8"/>
  <c r="N18" i="8"/>
  <c r="P18" i="8"/>
  <c r="P12" i="8"/>
  <c r="P13" i="8" s="1"/>
  <c r="P14" i="8" s="1"/>
  <c r="P17" i="8" s="1"/>
  <c r="I11" i="8"/>
  <c r="G20" i="8" l="1"/>
  <c r="D81" i="8"/>
  <c r="F81" i="8"/>
  <c r="B81" i="8"/>
  <c r="E81" i="8"/>
  <c r="E83" i="8" s="1"/>
  <c r="F69" i="8"/>
  <c r="H69" i="8"/>
  <c r="D69" i="8"/>
  <c r="B69" i="8"/>
  <c r="D67" i="8"/>
  <c r="F67" i="8"/>
  <c r="H67" i="8"/>
  <c r="B67" i="8"/>
  <c r="D65" i="8"/>
  <c r="F65" i="8"/>
  <c r="B65" i="8"/>
  <c r="H65" i="8"/>
  <c r="B63" i="8"/>
  <c r="D63" i="8"/>
  <c r="F63" i="8"/>
  <c r="H63" i="8"/>
  <c r="F48" i="8"/>
  <c r="H57" i="8"/>
  <c r="D39" i="8"/>
  <c r="B39" i="8"/>
  <c r="F37" i="8"/>
  <c r="D35" i="8"/>
  <c r="H42" i="8"/>
  <c r="B35" i="8"/>
  <c r="I13" i="8"/>
  <c r="F50" i="8"/>
  <c r="C21" i="8"/>
  <c r="F17" i="8"/>
  <c r="F21" i="8" s="1"/>
  <c r="D21" i="8"/>
  <c r="D52" i="8"/>
  <c r="F52" i="8"/>
  <c r="C35" i="8"/>
  <c r="C43" i="8" s="1"/>
  <c r="F35" i="8"/>
  <c r="G35" i="8"/>
  <c r="H50" i="8"/>
  <c r="F39" i="8"/>
  <c r="H41" i="8"/>
  <c r="H39" i="8"/>
  <c r="H81" i="8"/>
  <c r="E27" i="8"/>
  <c r="F23" i="8"/>
  <c r="F27" i="8" s="1"/>
  <c r="D23" i="8"/>
  <c r="D27" i="8" s="1"/>
  <c r="C23" i="8"/>
  <c r="C27" i="8" s="1"/>
  <c r="D155" i="8"/>
  <c r="F155" i="8"/>
  <c r="E155" i="8"/>
  <c r="C166" i="8"/>
  <c r="C168" i="8" s="1"/>
  <c r="E166" i="8"/>
  <c r="D166" i="8"/>
  <c r="F166" i="8"/>
  <c r="E164" i="8"/>
  <c r="H35" i="8"/>
  <c r="H48" i="8"/>
  <c r="F164" i="8"/>
  <c r="G159" i="8"/>
  <c r="I159" i="8" s="1"/>
  <c r="D37" i="8"/>
  <c r="H82" i="8"/>
  <c r="D164" i="8"/>
  <c r="E14" i="8"/>
  <c r="F14" i="8"/>
  <c r="F26" i="8"/>
  <c r="E28" i="8"/>
  <c r="D26" i="8"/>
  <c r="I35" i="8"/>
  <c r="B41" i="8"/>
  <c r="B54" i="8"/>
  <c r="B79" i="8"/>
  <c r="H79" i="8" s="1"/>
  <c r="B48" i="8"/>
  <c r="G168" i="8"/>
  <c r="I168" i="8" s="1"/>
  <c r="H37" i="8"/>
  <c r="D41" i="8"/>
  <c r="D54" i="8"/>
  <c r="D79" i="8"/>
  <c r="D48" i="8"/>
  <c r="C157" i="8"/>
  <c r="B37" i="8"/>
  <c r="F41" i="8"/>
  <c r="F54" i="8"/>
  <c r="C155" i="8"/>
  <c r="D157" i="8"/>
  <c r="E35" i="8"/>
  <c r="B52" i="8"/>
  <c r="E157" i="8"/>
  <c r="E159" i="8" s="1"/>
  <c r="F157" i="8"/>
  <c r="J77" i="7"/>
  <c r="J78" i="7"/>
  <c r="J79" i="7"/>
  <c r="J80" i="7"/>
  <c r="J81" i="7"/>
  <c r="J82" i="7"/>
  <c r="J76" i="7"/>
  <c r="F168" i="8" l="1"/>
  <c r="O82" i="8"/>
  <c r="J81" i="8"/>
  <c r="J63" i="8"/>
  <c r="J75" i="8"/>
  <c r="J77" i="8"/>
  <c r="J71" i="8"/>
  <c r="J73" i="8"/>
  <c r="O105" i="8"/>
  <c r="B43" i="8"/>
  <c r="O88" i="8"/>
  <c r="O89" i="8"/>
  <c r="J56" i="8"/>
  <c r="J58" i="8"/>
  <c r="B58" i="8"/>
  <c r="J52" i="8"/>
  <c r="D159" i="8"/>
  <c r="F11" i="8"/>
  <c r="F15" i="8" s="1"/>
  <c r="C15" i="8"/>
  <c r="E11" i="8"/>
  <c r="E15" i="8" s="1"/>
  <c r="D11" i="8"/>
  <c r="D15" i="8" s="1"/>
  <c r="G15" i="8"/>
  <c r="F83" i="8"/>
  <c r="H83" i="8"/>
  <c r="J67" i="8"/>
  <c r="J69" i="8"/>
  <c r="J65" i="8"/>
  <c r="J83" i="8"/>
  <c r="F58" i="8"/>
  <c r="H58" i="8"/>
  <c r="J50" i="8"/>
  <c r="J54" i="8"/>
  <c r="J48" i="8"/>
  <c r="D58" i="8"/>
  <c r="D43" i="8"/>
  <c r="J43" i="8"/>
  <c r="J35" i="8"/>
  <c r="H43" i="8"/>
  <c r="F43" i="8"/>
  <c r="G43" i="8"/>
  <c r="J41" i="8"/>
  <c r="J39" i="8"/>
  <c r="D83" i="8"/>
  <c r="J37" i="8"/>
  <c r="B83" i="8"/>
  <c r="J79" i="8"/>
  <c r="F159" i="8"/>
  <c r="F160" i="8" s="1"/>
  <c r="D160" i="8"/>
  <c r="G14" i="8"/>
  <c r="E160" i="8"/>
  <c r="I43" i="8"/>
  <c r="D168" i="8"/>
  <c r="D169" i="8" s="1"/>
  <c r="C159" i="8"/>
  <c r="E168" i="8"/>
  <c r="E169" i="8" s="1"/>
  <c r="G26" i="8"/>
  <c r="E43" i="8"/>
  <c r="F169" i="8"/>
  <c r="G101" i="7"/>
  <c r="I119" i="7"/>
  <c r="I117" i="7"/>
  <c r="I121" i="7"/>
  <c r="I106" i="7"/>
  <c r="F92" i="8" l="1"/>
  <c r="I92" i="8" s="1"/>
  <c r="F90" i="8"/>
  <c r="I90" i="8" s="1"/>
  <c r="F91" i="8"/>
  <c r="I91" i="8" s="1"/>
  <c r="O87" i="8"/>
  <c r="I89" i="8"/>
  <c r="F106" i="8"/>
  <c r="I106" i="8" s="1"/>
  <c r="F118" i="8"/>
  <c r="F115" i="8"/>
  <c r="I115" i="8" s="1"/>
  <c r="F109" i="8"/>
  <c r="F114" i="8"/>
  <c r="I114" i="8" s="1"/>
  <c r="F108" i="8"/>
  <c r="I108" i="8" s="1"/>
  <c r="O111" i="8"/>
  <c r="F113" i="8"/>
  <c r="I113" i="8" s="1"/>
  <c r="F107" i="8"/>
  <c r="I107" i="8" s="1"/>
  <c r="F112" i="8"/>
  <c r="I112" i="8" s="1"/>
  <c r="F117" i="8"/>
  <c r="F116" i="8"/>
  <c r="I116" i="8" s="1"/>
  <c r="F111" i="8"/>
  <c r="I111" i="8" s="1"/>
  <c r="F110" i="8"/>
  <c r="I110" i="8" s="1"/>
  <c r="F101" i="8"/>
  <c r="I101" i="8" s="1"/>
  <c r="F95" i="8"/>
  <c r="I95" i="8" s="1"/>
  <c r="F88" i="8"/>
  <c r="I88" i="8" s="1"/>
  <c r="F97" i="8"/>
  <c r="I97" i="8" s="1"/>
  <c r="I93" i="8"/>
  <c r="F98" i="8"/>
  <c r="I98" i="8" s="1"/>
  <c r="F99" i="8"/>
  <c r="I99" i="8" s="1"/>
  <c r="F96" i="8"/>
  <c r="I96" i="8" s="1"/>
  <c r="G27" i="8"/>
  <c r="G62" i="7"/>
  <c r="G61" i="7"/>
  <c r="F61" i="7" s="1"/>
  <c r="J61" i="7" s="1"/>
  <c r="G60" i="7"/>
  <c r="G59" i="7"/>
  <c r="F59" i="7" s="1"/>
  <c r="I59" i="7" s="1"/>
  <c r="G57" i="7"/>
  <c r="F51" i="7"/>
  <c r="B51" i="7"/>
  <c r="I52" i="7"/>
  <c r="G52" i="7"/>
  <c r="E52" i="7"/>
  <c r="C52" i="7"/>
  <c r="F94" i="8" l="1"/>
  <c r="I94" i="8" s="1"/>
  <c r="O92" i="8"/>
  <c r="F100" i="8"/>
  <c r="J100" i="8" s="1"/>
  <c r="J117" i="8"/>
  <c r="G50" i="7"/>
  <c r="E50" i="7"/>
  <c r="C50" i="7"/>
  <c r="H49" i="7" l="1"/>
  <c r="G121" i="7"/>
  <c r="H123" i="7"/>
  <c r="K122" i="7"/>
  <c r="K120" i="7"/>
  <c r="G119" i="7"/>
  <c r="F119" i="7" s="1"/>
  <c r="K118" i="7"/>
  <c r="G117" i="7"/>
  <c r="E117" i="7" s="1"/>
  <c r="K112" i="7"/>
  <c r="J113" i="7"/>
  <c r="K113" i="7" s="1"/>
  <c r="H112" i="7"/>
  <c r="M113" i="7" s="1"/>
  <c r="G108" i="7"/>
  <c r="G106" i="7"/>
  <c r="D106" i="7" s="1"/>
  <c r="K111" i="7"/>
  <c r="G110" i="7"/>
  <c r="K109" i="7"/>
  <c r="G70" i="7"/>
  <c r="G69" i="7"/>
  <c r="O67" i="7" s="1"/>
  <c r="G68" i="7"/>
  <c r="G67" i="7"/>
  <c r="G66" i="7"/>
  <c r="G65" i="7"/>
  <c r="G64" i="7"/>
  <c r="G39" i="7"/>
  <c r="E27" i="7"/>
  <c r="G27" i="7"/>
  <c r="I27" i="7"/>
  <c r="E43" i="7"/>
  <c r="G43" i="7"/>
  <c r="I43" i="7"/>
  <c r="E39" i="7"/>
  <c r="I37" i="7"/>
  <c r="I35" i="7"/>
  <c r="E37" i="7"/>
  <c r="G37" i="7"/>
  <c r="I44" i="7"/>
  <c r="D44" i="7"/>
  <c r="E44" i="7"/>
  <c r="G44" i="7"/>
  <c r="C43" i="7"/>
  <c r="I41" i="7"/>
  <c r="G41" i="7"/>
  <c r="E41" i="7"/>
  <c r="C41" i="7"/>
  <c r="C39" i="7"/>
  <c r="F50" i="7" l="1"/>
  <c r="H51" i="7"/>
  <c r="H50" i="7"/>
  <c r="J50" i="7"/>
  <c r="E119" i="7"/>
  <c r="C117" i="7"/>
  <c r="F117" i="7"/>
  <c r="G123" i="7"/>
  <c r="G112" i="7"/>
  <c r="I112" i="7" s="1"/>
  <c r="F121" i="7"/>
  <c r="E121" i="7"/>
  <c r="D121" i="7"/>
  <c r="C121" i="7"/>
  <c r="C119" i="7"/>
  <c r="D119" i="7"/>
  <c r="D117" i="7"/>
  <c r="C106" i="7"/>
  <c r="F110" i="7"/>
  <c r="E110" i="7"/>
  <c r="D110" i="7"/>
  <c r="C110" i="7"/>
  <c r="F108" i="7"/>
  <c r="E108" i="7"/>
  <c r="D108" i="7"/>
  <c r="C108" i="7"/>
  <c r="H38" i="7"/>
  <c r="H42" i="7"/>
  <c r="F43" i="7" s="1"/>
  <c r="H40" i="7"/>
  <c r="F44" i="7"/>
  <c r="B44" i="7"/>
  <c r="C27" i="7"/>
  <c r="Q116" i="7"/>
  <c r="K107" i="7"/>
  <c r="H83" i="7"/>
  <c r="G83" i="7"/>
  <c r="F83" i="7"/>
  <c r="E83" i="7"/>
  <c r="D83" i="7"/>
  <c r="Q57" i="7"/>
  <c r="I33" i="7"/>
  <c r="G33" i="7"/>
  <c r="E33" i="7"/>
  <c r="C44" i="7"/>
  <c r="C33" i="7" s="1"/>
  <c r="C37" i="7"/>
  <c r="G35" i="7"/>
  <c r="E35" i="7"/>
  <c r="C35" i="7"/>
  <c r="I31" i="7"/>
  <c r="G31" i="7"/>
  <c r="E31" i="7"/>
  <c r="C31" i="7"/>
  <c r="I29" i="7"/>
  <c r="G29" i="7"/>
  <c r="G51" i="7" s="1"/>
  <c r="E29" i="7"/>
  <c r="E51" i="7" s="1"/>
  <c r="C29" i="7"/>
  <c r="C51" i="7" s="1"/>
  <c r="I25" i="7"/>
  <c r="G25" i="7"/>
  <c r="E25" i="7"/>
  <c r="C25" i="7"/>
  <c r="N16" i="7"/>
  <c r="P12" i="7"/>
  <c r="P13" i="7" s="1"/>
  <c r="P14" i="7" s="1"/>
  <c r="P15" i="7" s="1"/>
  <c r="I11" i="7"/>
  <c r="G11" i="7" s="1"/>
  <c r="E123" i="7" l="1"/>
  <c r="J52" i="7"/>
  <c r="H52" i="7"/>
  <c r="F52" i="7"/>
  <c r="D123" i="7"/>
  <c r="C123" i="7"/>
  <c r="F123" i="7"/>
  <c r="F124" i="7" s="1"/>
  <c r="D112" i="7"/>
  <c r="C112" i="7"/>
  <c r="D43" i="7"/>
  <c r="H43" i="7"/>
  <c r="D39" i="7"/>
  <c r="H39" i="7"/>
  <c r="B39" i="7"/>
  <c r="B43" i="7"/>
  <c r="F39" i="7"/>
  <c r="G23" i="7"/>
  <c r="G45" i="7" s="1"/>
  <c r="C23" i="7"/>
  <c r="C45" i="7" s="1"/>
  <c r="I23" i="7"/>
  <c r="I45" i="7" s="1"/>
  <c r="H28" i="7"/>
  <c r="B29" i="7" s="1"/>
  <c r="H30" i="7"/>
  <c r="H34" i="7"/>
  <c r="H32" i="7"/>
  <c r="H36" i="7"/>
  <c r="J83" i="7"/>
  <c r="C11" i="7"/>
  <c r="C15" i="7" s="1"/>
  <c r="D11" i="7"/>
  <c r="D15" i="7" s="1"/>
  <c r="F11" i="7"/>
  <c r="F15" i="7" s="1"/>
  <c r="E11" i="7"/>
  <c r="E15" i="7" s="1"/>
  <c r="D14" i="7"/>
  <c r="H22" i="7"/>
  <c r="H26" i="7"/>
  <c r="E14" i="7"/>
  <c r="E16" i="7" s="1"/>
  <c r="F14" i="7"/>
  <c r="F16" i="7" s="1"/>
  <c r="J14" i="7"/>
  <c r="K14" i="7" s="1"/>
  <c r="H24" i="7"/>
  <c r="E23" i="7"/>
  <c r="E45" i="7" s="1"/>
  <c r="K23" i="4"/>
  <c r="D22" i="4"/>
  <c r="K17" i="4"/>
  <c r="D17" i="4"/>
  <c r="E17" i="4"/>
  <c r="F17" i="4"/>
  <c r="I17" i="4"/>
  <c r="F17" i="6"/>
  <c r="C17" i="4"/>
  <c r="P9" i="4" s="1"/>
  <c r="D50" i="7" l="1"/>
  <c r="B50" i="7"/>
  <c r="H35" i="7"/>
  <c r="F35" i="7"/>
  <c r="B35" i="7"/>
  <c r="D27" i="7"/>
  <c r="H27" i="7"/>
  <c r="B27" i="7"/>
  <c r="F27" i="7"/>
  <c r="H37" i="7"/>
  <c r="D37" i="7"/>
  <c r="F37" i="7"/>
  <c r="B37" i="7"/>
  <c r="D33" i="7"/>
  <c r="D35" i="7"/>
  <c r="B41" i="7"/>
  <c r="F41" i="7"/>
  <c r="D41" i="7"/>
  <c r="H41" i="7"/>
  <c r="D29" i="7"/>
  <c r="H29" i="7"/>
  <c r="B23" i="7"/>
  <c r="H44" i="7"/>
  <c r="F31" i="7"/>
  <c r="D31" i="7"/>
  <c r="F29" i="7"/>
  <c r="H31" i="7"/>
  <c r="H33" i="7"/>
  <c r="B31" i="7"/>
  <c r="B33" i="7"/>
  <c r="F33" i="7"/>
  <c r="G15" i="7"/>
  <c r="H25" i="7"/>
  <c r="F25" i="7"/>
  <c r="D25" i="7"/>
  <c r="B25" i="7"/>
  <c r="D16" i="7"/>
  <c r="G14" i="7"/>
  <c r="F106" i="7"/>
  <c r="F112" i="7" s="1"/>
  <c r="E106" i="7"/>
  <c r="E112" i="7" s="1"/>
  <c r="F23" i="7"/>
  <c r="D23" i="7"/>
  <c r="H23" i="7"/>
  <c r="I123" i="7"/>
  <c r="D182" i="4"/>
  <c r="E182" i="4"/>
  <c r="F182" i="4"/>
  <c r="D180" i="4"/>
  <c r="E180" i="4"/>
  <c r="F180" i="4"/>
  <c r="O45" i="7" l="1"/>
  <c r="O56" i="7"/>
  <c r="F62" i="7" s="1"/>
  <c r="I62" i="7" s="1"/>
  <c r="B52" i="7"/>
  <c r="J25" i="7"/>
  <c r="J41" i="7"/>
  <c r="J39" i="7"/>
  <c r="J43" i="7"/>
  <c r="D124" i="7"/>
  <c r="J23" i="7"/>
  <c r="D113" i="7"/>
  <c r="D45" i="7"/>
  <c r="D51" i="7" s="1"/>
  <c r="D52" i="7" s="1"/>
  <c r="O57" i="7"/>
  <c r="J45" i="7"/>
  <c r="H45" i="7"/>
  <c r="J37" i="7"/>
  <c r="J29" i="7"/>
  <c r="J33" i="7"/>
  <c r="J35" i="7"/>
  <c r="F45" i="7"/>
  <c r="J31" i="7"/>
  <c r="B45" i="7"/>
  <c r="E124" i="7"/>
  <c r="J27" i="7"/>
  <c r="D184" i="4"/>
  <c r="K175" i="4"/>
  <c r="F60" i="7" l="1"/>
  <c r="F69" i="7"/>
  <c r="F71" i="7"/>
  <c r="F65" i="7"/>
  <c r="F64" i="7"/>
  <c r="F68" i="7"/>
  <c r="F72" i="7"/>
  <c r="F67" i="7"/>
  <c r="F57" i="7"/>
  <c r="F70" i="7"/>
  <c r="F66" i="7"/>
  <c r="F113" i="7"/>
  <c r="E113" i="7"/>
  <c r="F184" i="4"/>
  <c r="F165" i="4"/>
  <c r="D165" i="4"/>
  <c r="F128" i="4"/>
  <c r="I128" i="4" s="1"/>
  <c r="I123" i="4"/>
  <c r="F123" i="4"/>
  <c r="I70" i="7" l="1"/>
  <c r="I66" i="7"/>
  <c r="I67" i="7"/>
  <c r="I64" i="7"/>
  <c r="I65" i="7"/>
  <c r="I60" i="7"/>
  <c r="S59" i="7"/>
  <c r="J72" i="7"/>
  <c r="I72" i="7"/>
  <c r="I57" i="7"/>
  <c r="I39" i="7" s="1"/>
  <c r="I51" i="7" s="1"/>
  <c r="J71" i="7"/>
  <c r="I71" i="7"/>
  <c r="J69" i="7"/>
  <c r="I68" i="7"/>
  <c r="F73" i="7"/>
  <c r="G157" i="4"/>
  <c r="G155" i="4"/>
  <c r="G154" i="4"/>
  <c r="G153" i="4"/>
  <c r="G152" i="4"/>
  <c r="G151" i="4"/>
  <c r="G150" i="4"/>
  <c r="G149" i="4"/>
  <c r="G148" i="4"/>
  <c r="G147" i="4"/>
  <c r="G145" i="4"/>
  <c r="G143" i="4"/>
  <c r="G142" i="4"/>
  <c r="F104" i="6"/>
  <c r="R154" i="4"/>
  <c r="R153" i="4"/>
  <c r="O146" i="4"/>
  <c r="P145" i="4"/>
  <c r="Q142" i="4"/>
  <c r="Q141" i="4" s="1"/>
  <c r="F101" i="4"/>
  <c r="B101" i="4"/>
  <c r="O110" i="4"/>
  <c r="N44" i="2"/>
  <c r="H44" i="2"/>
  <c r="N34" i="1"/>
  <c r="H34" i="1"/>
  <c r="B115" i="4"/>
  <c r="F113" i="4"/>
  <c r="B113" i="4"/>
  <c r="F111" i="4"/>
  <c r="B111" i="4"/>
  <c r="F109" i="4"/>
  <c r="B109" i="4"/>
  <c r="F107" i="4"/>
  <c r="B107" i="4"/>
  <c r="F105" i="4"/>
  <c r="B105" i="4"/>
  <c r="F103" i="4"/>
  <c r="B103" i="4"/>
  <c r="B34" i="4"/>
  <c r="J73" i="7" l="1"/>
  <c r="I73" i="7"/>
  <c r="I50" i="7" s="1"/>
  <c r="B117" i="4"/>
  <c r="F117" i="4"/>
  <c r="O38" i="4"/>
  <c r="P39" i="4" s="1"/>
  <c r="B54" i="4"/>
  <c r="B50" i="4"/>
  <c r="F48" i="4"/>
  <c r="B48" i="4"/>
  <c r="F44" i="4" l="1"/>
  <c r="B44" i="4"/>
  <c r="F42" i="4"/>
  <c r="B42" i="4"/>
  <c r="F40" i="4"/>
  <c r="B40" i="4"/>
  <c r="F52" i="4"/>
  <c r="B52" i="4"/>
  <c r="F38" i="4"/>
  <c r="B38" i="4"/>
  <c r="F36" i="4" l="1"/>
  <c r="B36" i="4"/>
  <c r="B56" i="4" s="1"/>
  <c r="F34" i="4"/>
  <c r="C83" i="4"/>
  <c r="D83" i="4"/>
  <c r="E83" i="4"/>
  <c r="G83" i="4"/>
  <c r="F56" i="4" l="1"/>
  <c r="H56" i="4" s="1"/>
  <c r="E82" i="4"/>
  <c r="G82" i="4"/>
  <c r="I82" i="4"/>
  <c r="E80" i="4"/>
  <c r="G80" i="4"/>
  <c r="I80" i="4"/>
  <c r="E76" i="4"/>
  <c r="G76" i="4"/>
  <c r="I76" i="4"/>
  <c r="E74" i="4"/>
  <c r="G74" i="4"/>
  <c r="I74" i="4"/>
  <c r="E72" i="4"/>
  <c r="G72" i="4"/>
  <c r="E70" i="4"/>
  <c r="G70" i="4"/>
  <c r="I70" i="4"/>
  <c r="E68" i="4"/>
  <c r="G68" i="4"/>
  <c r="I68" i="4"/>
  <c r="E66" i="4"/>
  <c r="G66" i="4"/>
  <c r="I66" i="4"/>
  <c r="E64" i="4"/>
  <c r="G64" i="4"/>
  <c r="I64" i="4"/>
  <c r="E62" i="4"/>
  <c r="G62" i="4"/>
  <c r="B81" i="4"/>
  <c r="C82" i="4"/>
  <c r="C80" i="4"/>
  <c r="F75" i="4"/>
  <c r="B75" i="4"/>
  <c r="F73" i="4"/>
  <c r="B73" i="4"/>
  <c r="F71" i="4"/>
  <c r="B71" i="4"/>
  <c r="F69" i="4"/>
  <c r="H57" i="4" l="1"/>
  <c r="E84" i="4"/>
  <c r="G84" i="4"/>
  <c r="H79" i="4"/>
  <c r="H77" i="4"/>
  <c r="H81" i="4"/>
  <c r="B63" i="4"/>
  <c r="B34" i="3"/>
  <c r="F125" i="4" l="1"/>
  <c r="I125" i="4" s="1"/>
  <c r="F126" i="4"/>
  <c r="I126" i="4" s="1"/>
  <c r="F82" i="4"/>
  <c r="H82" i="4"/>
  <c r="D82" i="4"/>
  <c r="H80" i="4"/>
  <c r="B80" i="4"/>
  <c r="D80" i="4"/>
  <c r="F80" i="4"/>
  <c r="B78" i="4"/>
  <c r="F78" i="4"/>
  <c r="D78" i="4"/>
  <c r="H78" i="4"/>
  <c r="B82" i="4"/>
  <c r="I83" i="4"/>
  <c r="C76" i="4"/>
  <c r="C74" i="4"/>
  <c r="H73" i="4"/>
  <c r="C72" i="4"/>
  <c r="C70" i="4"/>
  <c r="C68" i="4"/>
  <c r="C66" i="4"/>
  <c r="C64" i="4"/>
  <c r="C62" i="4"/>
  <c r="C84" i="4" l="1"/>
  <c r="D74" i="4"/>
  <c r="H74" i="4"/>
  <c r="F74" i="4"/>
  <c r="B74" i="4"/>
  <c r="I62" i="4"/>
  <c r="I72" i="4"/>
  <c r="H71" i="4"/>
  <c r="H75" i="4"/>
  <c r="E116" i="4"/>
  <c r="G116" i="4"/>
  <c r="I116" i="4"/>
  <c r="E114" i="4"/>
  <c r="G114" i="4"/>
  <c r="I114" i="4"/>
  <c r="C116" i="4"/>
  <c r="C114" i="4"/>
  <c r="E110" i="4"/>
  <c r="G110" i="4"/>
  <c r="I110" i="4"/>
  <c r="E108" i="4"/>
  <c r="G108" i="4"/>
  <c r="I108" i="4"/>
  <c r="E106" i="4"/>
  <c r="G106" i="4"/>
  <c r="I106" i="4"/>
  <c r="E104" i="4"/>
  <c r="G104" i="4"/>
  <c r="I104" i="4"/>
  <c r="I117" i="4"/>
  <c r="I102" i="4" s="1"/>
  <c r="G117" i="4"/>
  <c r="G102" i="4" s="1"/>
  <c r="E117" i="4"/>
  <c r="E112" i="4" s="1"/>
  <c r="D117" i="4"/>
  <c r="C117" i="4"/>
  <c r="C102" i="4" s="1"/>
  <c r="C110" i="4"/>
  <c r="C108" i="4"/>
  <c r="C106" i="4"/>
  <c r="C104" i="4"/>
  <c r="E97" i="4"/>
  <c r="G97" i="4"/>
  <c r="I97" i="4"/>
  <c r="E91" i="4"/>
  <c r="G91" i="4"/>
  <c r="I91" i="4"/>
  <c r="E95" i="4"/>
  <c r="G95" i="4"/>
  <c r="I95" i="4"/>
  <c r="K91" i="4"/>
  <c r="K93" i="4" s="1"/>
  <c r="K95" i="4" s="1"/>
  <c r="K97" i="4" s="1"/>
  <c r="E89" i="4"/>
  <c r="E78" i="4" s="1"/>
  <c r="G89" i="4"/>
  <c r="G78" i="4" s="1"/>
  <c r="I89" i="4"/>
  <c r="I78" i="4" s="1"/>
  <c r="E93" i="4"/>
  <c r="G93" i="4"/>
  <c r="I93" i="4"/>
  <c r="C97" i="4"/>
  <c r="F96" i="4"/>
  <c r="B96" i="4"/>
  <c r="C95" i="4"/>
  <c r="H94" i="4"/>
  <c r="H95" i="4" s="1"/>
  <c r="C93" i="4"/>
  <c r="H92" i="4"/>
  <c r="D93" i="4" s="1"/>
  <c r="C91" i="4"/>
  <c r="H90" i="4"/>
  <c r="F91" i="4" s="1"/>
  <c r="K89" i="4"/>
  <c r="C89" i="4"/>
  <c r="C78" i="4" s="1"/>
  <c r="H88" i="4"/>
  <c r="B89" i="4" s="1"/>
  <c r="E55" i="4"/>
  <c r="G55" i="4"/>
  <c r="I55" i="4"/>
  <c r="E53" i="4"/>
  <c r="G53" i="4"/>
  <c r="E49" i="4"/>
  <c r="G49" i="4"/>
  <c r="I49" i="4"/>
  <c r="C55" i="4"/>
  <c r="C53" i="4"/>
  <c r="I51" i="4"/>
  <c r="G51" i="4"/>
  <c r="E51" i="4"/>
  <c r="C51" i="4"/>
  <c r="C49" i="4"/>
  <c r="I84" i="4" l="1"/>
  <c r="D72" i="4"/>
  <c r="H72" i="4"/>
  <c r="B72" i="4"/>
  <c r="F72" i="4"/>
  <c r="D76" i="4"/>
  <c r="H76" i="4"/>
  <c r="F76" i="4"/>
  <c r="B76" i="4"/>
  <c r="I112" i="4"/>
  <c r="I118" i="4" s="1"/>
  <c r="H89" i="4"/>
  <c r="G112" i="4"/>
  <c r="G118" i="4" s="1"/>
  <c r="F95" i="4"/>
  <c r="B93" i="4"/>
  <c r="D91" i="4"/>
  <c r="C112" i="4"/>
  <c r="C118" i="4" s="1"/>
  <c r="H113" i="4"/>
  <c r="F114" i="4" s="1"/>
  <c r="H115" i="4"/>
  <c r="E102" i="4"/>
  <c r="E118" i="4" s="1"/>
  <c r="H93" i="4"/>
  <c r="D95" i="4"/>
  <c r="F89" i="4"/>
  <c r="B91" i="4"/>
  <c r="F93" i="4"/>
  <c r="B95" i="4"/>
  <c r="D89" i="4"/>
  <c r="H91" i="4"/>
  <c r="H96" i="4"/>
  <c r="H48" i="4"/>
  <c r="H54" i="4"/>
  <c r="L25" i="4"/>
  <c r="K25" i="4"/>
  <c r="H25" i="4"/>
  <c r="H23" i="4"/>
  <c r="F23" i="4"/>
  <c r="E23" i="4"/>
  <c r="D23" i="4"/>
  <c r="C23" i="4"/>
  <c r="L19" i="4"/>
  <c r="K19" i="4"/>
  <c r="H19" i="4"/>
  <c r="F19" i="4"/>
  <c r="D19" i="4"/>
  <c r="C19" i="4"/>
  <c r="H17" i="4"/>
  <c r="G17" i="4"/>
  <c r="R153" i="6"/>
  <c r="R154" i="6" s="1"/>
  <c r="H149" i="6"/>
  <c r="K148" i="6"/>
  <c r="Q147" i="6"/>
  <c r="F147" i="6"/>
  <c r="F149" i="6" s="1"/>
  <c r="K146" i="6"/>
  <c r="Q145" i="6"/>
  <c r="I145" i="6"/>
  <c r="G145" i="6"/>
  <c r="F145" i="6" s="1"/>
  <c r="Q144" i="6"/>
  <c r="H140" i="6"/>
  <c r="K139" i="6"/>
  <c r="I138" i="6"/>
  <c r="G138" i="6"/>
  <c r="F138" i="6" s="1"/>
  <c r="D138" i="6"/>
  <c r="C138" i="6"/>
  <c r="K137" i="6"/>
  <c r="I136" i="6"/>
  <c r="G136" i="6" s="1"/>
  <c r="G129" i="6"/>
  <c r="H124" i="6"/>
  <c r="G124" i="6"/>
  <c r="F124" i="6"/>
  <c r="E124" i="6"/>
  <c r="D124" i="6"/>
  <c r="J123" i="6"/>
  <c r="J122" i="6"/>
  <c r="J121" i="6"/>
  <c r="J120" i="6"/>
  <c r="J124" i="6" s="1"/>
  <c r="J119" i="6"/>
  <c r="J118" i="6"/>
  <c r="J117" i="6"/>
  <c r="P116" i="6"/>
  <c r="F114" i="6"/>
  <c r="I114" i="6" s="1"/>
  <c r="F113" i="6"/>
  <c r="I113" i="6" s="1"/>
  <c r="F112" i="6"/>
  <c r="J112" i="6" s="1"/>
  <c r="F111" i="6"/>
  <c r="I111" i="6" s="1"/>
  <c r="O110" i="6"/>
  <c r="F110" i="6"/>
  <c r="I110" i="6" s="1"/>
  <c r="F109" i="6"/>
  <c r="I109" i="6" s="1"/>
  <c r="I108" i="6"/>
  <c r="F108" i="6"/>
  <c r="O107" i="6"/>
  <c r="F107" i="6"/>
  <c r="I107" i="6" s="1"/>
  <c r="O106" i="6"/>
  <c r="F106" i="6"/>
  <c r="I106" i="6" s="1"/>
  <c r="I105" i="6"/>
  <c r="F105" i="6"/>
  <c r="I104" i="6"/>
  <c r="F103" i="6"/>
  <c r="I103" i="6" s="1"/>
  <c r="F102" i="6"/>
  <c r="I102" i="6" s="1"/>
  <c r="I101" i="6"/>
  <c r="F101" i="6"/>
  <c r="F97" i="6"/>
  <c r="J97" i="6" s="1"/>
  <c r="R96" i="6"/>
  <c r="J96" i="6"/>
  <c r="F96" i="6"/>
  <c r="R95" i="6"/>
  <c r="I95" i="6"/>
  <c r="F95" i="6"/>
  <c r="F94" i="6"/>
  <c r="I94" i="6" s="1"/>
  <c r="F93" i="6"/>
  <c r="J93" i="6" s="1"/>
  <c r="I92" i="6"/>
  <c r="F92" i="6"/>
  <c r="I91" i="6"/>
  <c r="F91" i="6"/>
  <c r="F90" i="6"/>
  <c r="J90" i="6" s="1"/>
  <c r="F89" i="6"/>
  <c r="J89" i="6" s="1"/>
  <c r="O88" i="6"/>
  <c r="I88" i="6"/>
  <c r="F88" i="6"/>
  <c r="J88" i="6" s="1"/>
  <c r="F87" i="6"/>
  <c r="J87" i="6" s="1"/>
  <c r="J86" i="6"/>
  <c r="I86" i="6"/>
  <c r="F86" i="6"/>
  <c r="F85" i="6"/>
  <c r="J85" i="6" s="1"/>
  <c r="F84" i="6"/>
  <c r="J84" i="6" s="1"/>
  <c r="Q83" i="6"/>
  <c r="I79" i="6"/>
  <c r="I78" i="6"/>
  <c r="G78" i="6"/>
  <c r="G77" i="6" s="1"/>
  <c r="F78" i="6"/>
  <c r="E78" i="6"/>
  <c r="E77" i="6" s="1"/>
  <c r="E79" i="6" s="1"/>
  <c r="D78" i="6"/>
  <c r="C78" i="6"/>
  <c r="C77" i="6" s="1"/>
  <c r="C79" i="6" s="1"/>
  <c r="B78" i="6"/>
  <c r="H78" i="6" s="1"/>
  <c r="I77" i="6"/>
  <c r="B77" i="6"/>
  <c r="H76" i="6"/>
  <c r="H77" i="6" s="1"/>
  <c r="I75" i="6"/>
  <c r="E75" i="6"/>
  <c r="C75" i="6"/>
  <c r="H74" i="6"/>
  <c r="B75" i="6" s="1"/>
  <c r="K70" i="6"/>
  <c r="I70" i="6"/>
  <c r="G70" i="6"/>
  <c r="E70" i="6"/>
  <c r="C70" i="6"/>
  <c r="F69" i="6"/>
  <c r="B69" i="6"/>
  <c r="K68" i="6"/>
  <c r="I68" i="6"/>
  <c r="G68" i="6"/>
  <c r="F68" i="6"/>
  <c r="E68" i="6"/>
  <c r="D68" i="6"/>
  <c r="C68" i="6"/>
  <c r="B68" i="6"/>
  <c r="H67" i="6"/>
  <c r="H68" i="6" s="1"/>
  <c r="K66" i="6"/>
  <c r="I66" i="6"/>
  <c r="G66" i="6"/>
  <c r="F66" i="6"/>
  <c r="E66" i="6"/>
  <c r="C66" i="6"/>
  <c r="H65" i="6"/>
  <c r="D66" i="6" s="1"/>
  <c r="K64" i="6"/>
  <c r="I64" i="6"/>
  <c r="H64" i="6"/>
  <c r="G64" i="6"/>
  <c r="C64" i="6"/>
  <c r="B64" i="6"/>
  <c r="H63" i="6"/>
  <c r="F64" i="6" s="1"/>
  <c r="K62" i="6"/>
  <c r="I62" i="6"/>
  <c r="G62" i="6"/>
  <c r="E62" i="6"/>
  <c r="C62" i="6"/>
  <c r="B62" i="6"/>
  <c r="H61" i="6"/>
  <c r="H62" i="6" s="1"/>
  <c r="I56" i="6"/>
  <c r="G56" i="6"/>
  <c r="G51" i="6" s="1"/>
  <c r="F56" i="6"/>
  <c r="E56" i="6"/>
  <c r="E53" i="6" s="1"/>
  <c r="D56" i="6"/>
  <c r="C56" i="6"/>
  <c r="C53" i="6" s="1"/>
  <c r="B56" i="6"/>
  <c r="I55" i="6"/>
  <c r="H55" i="6"/>
  <c r="G55" i="6"/>
  <c r="F55" i="6"/>
  <c r="E55" i="6"/>
  <c r="D55" i="6"/>
  <c r="C55" i="6"/>
  <c r="B55" i="6"/>
  <c r="H54" i="6"/>
  <c r="I53" i="6"/>
  <c r="H53" i="6"/>
  <c r="G53" i="6"/>
  <c r="F53" i="6"/>
  <c r="D53" i="6"/>
  <c r="B53" i="6"/>
  <c r="H52" i="6"/>
  <c r="I51" i="6"/>
  <c r="F51" i="6"/>
  <c r="D51" i="6"/>
  <c r="H50" i="6"/>
  <c r="H51" i="6" s="1"/>
  <c r="I49" i="6"/>
  <c r="H49" i="6"/>
  <c r="F49" i="6"/>
  <c r="D49" i="6"/>
  <c r="C49" i="6"/>
  <c r="B49" i="6"/>
  <c r="H48" i="6"/>
  <c r="I47" i="6"/>
  <c r="H47" i="6"/>
  <c r="G47" i="6"/>
  <c r="E47" i="6"/>
  <c r="C47" i="6"/>
  <c r="H46" i="6"/>
  <c r="I45" i="6"/>
  <c r="H45" i="6"/>
  <c r="G45" i="6"/>
  <c r="F45" i="6"/>
  <c r="E45" i="6"/>
  <c r="D45" i="6"/>
  <c r="C45" i="6"/>
  <c r="B45" i="6"/>
  <c r="H44" i="6"/>
  <c r="I43" i="6"/>
  <c r="H42" i="6"/>
  <c r="D47" i="6" s="1"/>
  <c r="I41" i="6"/>
  <c r="H41" i="6"/>
  <c r="G41" i="6"/>
  <c r="F41" i="6"/>
  <c r="E41" i="6"/>
  <c r="D41" i="6"/>
  <c r="C41" i="6"/>
  <c r="B41" i="6"/>
  <c r="H40" i="6"/>
  <c r="I39" i="6"/>
  <c r="G39" i="6"/>
  <c r="E39" i="6"/>
  <c r="C39" i="6"/>
  <c r="H38" i="6"/>
  <c r="D39" i="6" s="1"/>
  <c r="I37" i="6"/>
  <c r="H37" i="6"/>
  <c r="G37" i="6"/>
  <c r="F37" i="6"/>
  <c r="E37" i="6"/>
  <c r="D37" i="6"/>
  <c r="C37" i="6"/>
  <c r="B37" i="6"/>
  <c r="H36" i="6"/>
  <c r="D75" i="6" s="1"/>
  <c r="I35" i="6"/>
  <c r="I57" i="6" s="1"/>
  <c r="H34" i="6"/>
  <c r="H35" i="6" s="1"/>
  <c r="N28" i="6"/>
  <c r="N26" i="6"/>
  <c r="F24" i="6"/>
  <c r="F28" i="6" s="1"/>
  <c r="E24" i="6"/>
  <c r="E28" i="6" s="1"/>
  <c r="D24" i="6"/>
  <c r="D28" i="6" s="1"/>
  <c r="I23" i="6"/>
  <c r="G23" i="6"/>
  <c r="K24" i="6" s="1"/>
  <c r="F22" i="6"/>
  <c r="F26" i="6" s="1"/>
  <c r="E22" i="6"/>
  <c r="E26" i="6" s="1"/>
  <c r="D22" i="6"/>
  <c r="G22" i="6" s="1"/>
  <c r="I21" i="6"/>
  <c r="G21" i="6"/>
  <c r="K22" i="6" s="1"/>
  <c r="K20" i="6"/>
  <c r="I19" i="6"/>
  <c r="G19" i="6"/>
  <c r="F19" i="6" s="1"/>
  <c r="E19" i="6"/>
  <c r="D19" i="6"/>
  <c r="C19" i="6"/>
  <c r="K18" i="6"/>
  <c r="I17" i="6"/>
  <c r="G17" i="6" s="1"/>
  <c r="N16" i="6"/>
  <c r="E15" i="6"/>
  <c r="J14" i="6"/>
  <c r="K14" i="6" s="1"/>
  <c r="F14" i="6"/>
  <c r="F16" i="6" s="1"/>
  <c r="E14" i="6"/>
  <c r="E16" i="6" s="1"/>
  <c r="D14" i="6"/>
  <c r="D16" i="6" s="1"/>
  <c r="I13" i="6"/>
  <c r="G13" i="6"/>
  <c r="P12" i="6"/>
  <c r="P13" i="6" s="1"/>
  <c r="P14" i="6" s="1"/>
  <c r="P15" i="6" s="1"/>
  <c r="I11" i="6"/>
  <c r="G11" i="6"/>
  <c r="D11" i="6" s="1"/>
  <c r="D15" i="6" s="1"/>
  <c r="G15" i="6" s="1"/>
  <c r="F11" i="6"/>
  <c r="F15" i="6" s="1"/>
  <c r="E11" i="6"/>
  <c r="F130" i="4" l="1"/>
  <c r="I130" i="4" s="1"/>
  <c r="F129" i="4"/>
  <c r="I129" i="4" s="1"/>
  <c r="O17" i="4"/>
  <c r="F39" i="6"/>
  <c r="H39" i="6"/>
  <c r="B39" i="6"/>
  <c r="F116" i="4"/>
  <c r="H116" i="4"/>
  <c r="B116" i="4"/>
  <c r="D116" i="4"/>
  <c r="D114" i="4"/>
  <c r="H114" i="4"/>
  <c r="B114" i="4"/>
  <c r="C21" i="4"/>
  <c r="J97" i="4"/>
  <c r="J95" i="4"/>
  <c r="D97" i="4"/>
  <c r="H97" i="4"/>
  <c r="J89" i="4"/>
  <c r="J91" i="4"/>
  <c r="J93" i="4"/>
  <c r="F97" i="4"/>
  <c r="B97" i="4"/>
  <c r="D49" i="4"/>
  <c r="F49" i="4"/>
  <c r="H49" i="4"/>
  <c r="B49" i="4"/>
  <c r="G23" i="4"/>
  <c r="D55" i="4"/>
  <c r="F55" i="4"/>
  <c r="H55" i="4"/>
  <c r="B55" i="4"/>
  <c r="G19" i="4"/>
  <c r="J20" i="4" s="1"/>
  <c r="K20" i="4" s="1"/>
  <c r="H79" i="6"/>
  <c r="J77" i="6"/>
  <c r="J79" i="6"/>
  <c r="H75" i="6"/>
  <c r="O78" i="6" s="1"/>
  <c r="B70" i="6"/>
  <c r="C17" i="6"/>
  <c r="E17" i="6"/>
  <c r="D17" i="6"/>
  <c r="F136" i="6"/>
  <c r="F140" i="6" s="1"/>
  <c r="G140" i="6"/>
  <c r="I140" i="6" s="1"/>
  <c r="E136" i="6"/>
  <c r="E140" i="6" s="1"/>
  <c r="E141" i="6" s="1"/>
  <c r="D136" i="6"/>
  <c r="D140" i="6" s="1"/>
  <c r="C136" i="6"/>
  <c r="C140" i="6" s="1"/>
  <c r="F79" i="6"/>
  <c r="F47" i="6"/>
  <c r="B51" i="6"/>
  <c r="B35" i="6"/>
  <c r="B43" i="6"/>
  <c r="G14" i="6"/>
  <c r="C35" i="6"/>
  <c r="C43" i="6"/>
  <c r="E49" i="6"/>
  <c r="C51" i="6"/>
  <c r="D62" i="6"/>
  <c r="H66" i="6"/>
  <c r="D77" i="6"/>
  <c r="B79" i="6"/>
  <c r="D26" i="6"/>
  <c r="D35" i="6"/>
  <c r="D43" i="6"/>
  <c r="H69" i="6"/>
  <c r="F75" i="6"/>
  <c r="G149" i="6"/>
  <c r="I149" i="6" s="1"/>
  <c r="G24" i="6"/>
  <c r="E35" i="6"/>
  <c r="E43" i="6"/>
  <c r="G49" i="6"/>
  <c r="E51" i="6"/>
  <c r="H56" i="6"/>
  <c r="F62" i="6"/>
  <c r="B66" i="6"/>
  <c r="F77" i="6"/>
  <c r="E138" i="6"/>
  <c r="C145" i="6"/>
  <c r="C147" i="6"/>
  <c r="C149" i="6" s="1"/>
  <c r="F35" i="6"/>
  <c r="F43" i="6"/>
  <c r="B47" i="6"/>
  <c r="D145" i="6"/>
  <c r="D147" i="6"/>
  <c r="D149" i="6" s="1"/>
  <c r="D150" i="6" s="1"/>
  <c r="C11" i="6"/>
  <c r="C15" i="6" s="1"/>
  <c r="G35" i="6"/>
  <c r="G43" i="6"/>
  <c r="J75" i="6"/>
  <c r="I112" i="6"/>
  <c r="E145" i="6"/>
  <c r="E147" i="6"/>
  <c r="H43" i="6"/>
  <c r="I23" i="4"/>
  <c r="I11" i="2"/>
  <c r="I17" i="2"/>
  <c r="D21" i="4"/>
  <c r="E21" i="4"/>
  <c r="F21" i="4"/>
  <c r="N22" i="4"/>
  <c r="O23" i="4"/>
  <c r="O19" i="4"/>
  <c r="O10" i="4"/>
  <c r="K171" i="5"/>
  <c r="G170" i="5"/>
  <c r="I170" i="5" s="1"/>
  <c r="F170" i="5"/>
  <c r="F171" i="5" s="1"/>
  <c r="E170" i="5"/>
  <c r="E171" i="5" s="1"/>
  <c r="K169" i="5"/>
  <c r="F168" i="5"/>
  <c r="E168" i="5"/>
  <c r="D168" i="5"/>
  <c r="C168" i="5"/>
  <c r="K167" i="5"/>
  <c r="F166" i="5"/>
  <c r="E166" i="5"/>
  <c r="D166" i="5"/>
  <c r="D170" i="5" s="1"/>
  <c r="D171" i="5" s="1"/>
  <c r="C166" i="5"/>
  <c r="C170" i="5" s="1"/>
  <c r="K162" i="5"/>
  <c r="H161" i="5"/>
  <c r="C161" i="5"/>
  <c r="K160" i="5"/>
  <c r="F159" i="5"/>
  <c r="E159" i="5"/>
  <c r="D159" i="5"/>
  <c r="C159" i="5"/>
  <c r="K158" i="5"/>
  <c r="F157" i="5"/>
  <c r="F161" i="5" s="1"/>
  <c r="E157" i="5"/>
  <c r="E161" i="5" s="1"/>
  <c r="D157" i="5"/>
  <c r="D161" i="5" s="1"/>
  <c r="C157" i="5"/>
  <c r="G151" i="5"/>
  <c r="O144" i="5"/>
  <c r="H136" i="5"/>
  <c r="G136" i="5"/>
  <c r="F136" i="5"/>
  <c r="E136" i="5"/>
  <c r="D136" i="5"/>
  <c r="J135" i="5"/>
  <c r="J134" i="5"/>
  <c r="J133" i="5"/>
  <c r="J132" i="5"/>
  <c r="J131" i="5"/>
  <c r="J130" i="5"/>
  <c r="J129" i="5"/>
  <c r="J136" i="5" s="1"/>
  <c r="F112" i="5"/>
  <c r="I112" i="5" s="1"/>
  <c r="F107" i="5"/>
  <c r="I107" i="5" s="1"/>
  <c r="Q104" i="5"/>
  <c r="O104" i="5"/>
  <c r="F116" i="5" s="1"/>
  <c r="R100" i="5"/>
  <c r="F94" i="5"/>
  <c r="J94" i="5" s="1"/>
  <c r="S93" i="5"/>
  <c r="F93" i="5"/>
  <c r="J93" i="5" s="1"/>
  <c r="F92" i="5"/>
  <c r="I92" i="5" s="1"/>
  <c r="S92" i="5" s="1"/>
  <c r="F91" i="5"/>
  <c r="I91" i="5" s="1"/>
  <c r="Q89" i="5"/>
  <c r="O89" i="5"/>
  <c r="F101" i="5" s="1"/>
  <c r="J101" i="5" s="1"/>
  <c r="R84" i="5"/>
  <c r="R83" i="5"/>
  <c r="F83" i="5"/>
  <c r="I83" i="5" s="1"/>
  <c r="F79" i="5"/>
  <c r="I79" i="5" s="1"/>
  <c r="F77" i="5"/>
  <c r="J77" i="5" s="1"/>
  <c r="J76" i="5"/>
  <c r="F76" i="5"/>
  <c r="I75" i="5"/>
  <c r="S75" i="5" s="1"/>
  <c r="F75" i="5"/>
  <c r="F74" i="5"/>
  <c r="I74" i="5" s="1"/>
  <c r="S74" i="5" s="1"/>
  <c r="I73" i="5"/>
  <c r="F73" i="5"/>
  <c r="F72" i="5"/>
  <c r="I72" i="5" s="1"/>
  <c r="Q71" i="5"/>
  <c r="O71" i="5"/>
  <c r="F87" i="5" s="1"/>
  <c r="I66" i="5"/>
  <c r="G66" i="5"/>
  <c r="E66" i="5"/>
  <c r="C66" i="5"/>
  <c r="I65" i="5"/>
  <c r="G65" i="5"/>
  <c r="F65" i="5"/>
  <c r="F66" i="5" s="1"/>
  <c r="E65" i="5"/>
  <c r="D65" i="5"/>
  <c r="D66" i="5" s="1"/>
  <c r="C65" i="5"/>
  <c r="B65" i="5"/>
  <c r="B66" i="5" s="1"/>
  <c r="F64" i="5"/>
  <c r="B64" i="5"/>
  <c r="H63" i="5"/>
  <c r="H64" i="5" s="1"/>
  <c r="F62" i="5"/>
  <c r="B62" i="5"/>
  <c r="H61" i="5"/>
  <c r="J62" i="5" s="1"/>
  <c r="F60" i="5"/>
  <c r="B60" i="5"/>
  <c r="H59" i="5"/>
  <c r="H60" i="5" s="1"/>
  <c r="H58" i="5"/>
  <c r="F58" i="5"/>
  <c r="D58" i="5"/>
  <c r="B58" i="5"/>
  <c r="H57" i="5"/>
  <c r="F56" i="5"/>
  <c r="D56" i="5"/>
  <c r="B56" i="5"/>
  <c r="H55" i="5"/>
  <c r="H56" i="5" s="1"/>
  <c r="B54" i="5"/>
  <c r="H53" i="5"/>
  <c r="J54" i="5" s="1"/>
  <c r="H52" i="5"/>
  <c r="F52" i="5"/>
  <c r="B52" i="5"/>
  <c r="H51" i="5"/>
  <c r="D52" i="5" s="1"/>
  <c r="H50" i="5"/>
  <c r="F50" i="5"/>
  <c r="D50" i="5"/>
  <c r="B50" i="5"/>
  <c r="H49" i="5"/>
  <c r="H65" i="5" s="1"/>
  <c r="I44" i="5"/>
  <c r="G44" i="5"/>
  <c r="F44" i="5"/>
  <c r="E44" i="5"/>
  <c r="D44" i="5"/>
  <c r="C44" i="5"/>
  <c r="B44" i="5"/>
  <c r="I43" i="5"/>
  <c r="G43" i="5"/>
  <c r="E43" i="5"/>
  <c r="C43" i="5"/>
  <c r="H42" i="5"/>
  <c r="F43" i="5" s="1"/>
  <c r="I41" i="5"/>
  <c r="G41" i="5"/>
  <c r="E41" i="5"/>
  <c r="C41" i="5"/>
  <c r="H40" i="5"/>
  <c r="H41" i="5" s="1"/>
  <c r="I39" i="5"/>
  <c r="G39" i="5"/>
  <c r="E39" i="5"/>
  <c r="C39" i="5"/>
  <c r="H38" i="5"/>
  <c r="H36" i="5"/>
  <c r="I35" i="5"/>
  <c r="G35" i="5"/>
  <c r="E35" i="5"/>
  <c r="C35" i="5"/>
  <c r="H34" i="5"/>
  <c r="I33" i="5"/>
  <c r="I45" i="5" s="1"/>
  <c r="G33" i="5"/>
  <c r="G45" i="5" s="1"/>
  <c r="E33" i="5"/>
  <c r="E45" i="5" s="1"/>
  <c r="C33" i="5"/>
  <c r="C45" i="5" s="1"/>
  <c r="H32" i="5"/>
  <c r="D33" i="5" s="1"/>
  <c r="H25" i="5"/>
  <c r="F25" i="5"/>
  <c r="E25" i="5"/>
  <c r="D25" i="5"/>
  <c r="C25" i="5"/>
  <c r="H23" i="5"/>
  <c r="J20" i="5"/>
  <c r="K20" i="5" s="1"/>
  <c r="G19" i="5"/>
  <c r="F20" i="5" s="1"/>
  <c r="F22" i="5" s="1"/>
  <c r="K18" i="5"/>
  <c r="G18" i="5"/>
  <c r="G17" i="5"/>
  <c r="E17" i="5" s="1"/>
  <c r="E21" i="5" s="1"/>
  <c r="F17" i="5"/>
  <c r="F21" i="5" s="1"/>
  <c r="D17" i="5"/>
  <c r="D21" i="5" s="1"/>
  <c r="N16" i="5"/>
  <c r="J14" i="5"/>
  <c r="K14" i="5" s="1"/>
  <c r="G13" i="5"/>
  <c r="F14" i="5" s="1"/>
  <c r="F16" i="5" s="1"/>
  <c r="K12" i="5"/>
  <c r="G11" i="5"/>
  <c r="F11" i="5" s="1"/>
  <c r="J49" i="6" l="1"/>
  <c r="J41" i="6"/>
  <c r="J57" i="6"/>
  <c r="J55" i="6"/>
  <c r="J47" i="6"/>
  <c r="J39" i="6"/>
  <c r="H57" i="6"/>
  <c r="J37" i="6"/>
  <c r="J53" i="6"/>
  <c r="J45" i="6"/>
  <c r="G57" i="6"/>
  <c r="J43" i="6"/>
  <c r="F141" i="6"/>
  <c r="F57" i="6"/>
  <c r="J68" i="6"/>
  <c r="D70" i="6"/>
  <c r="J70" i="6"/>
  <c r="F70" i="6"/>
  <c r="J62" i="6"/>
  <c r="H70" i="6"/>
  <c r="J64" i="6"/>
  <c r="C57" i="6"/>
  <c r="J35" i="6"/>
  <c r="D25" i="6"/>
  <c r="G25" i="6" s="1"/>
  <c r="D27" i="6"/>
  <c r="F150" i="6"/>
  <c r="E57" i="6"/>
  <c r="B57" i="6"/>
  <c r="E25" i="6"/>
  <c r="E27" i="6"/>
  <c r="E149" i="6"/>
  <c r="E150" i="6" s="1"/>
  <c r="J66" i="6"/>
  <c r="F25" i="6"/>
  <c r="F27" i="6"/>
  <c r="C27" i="6"/>
  <c r="C25" i="6"/>
  <c r="J51" i="6"/>
  <c r="D141" i="6"/>
  <c r="D79" i="6"/>
  <c r="D57" i="6"/>
  <c r="G21" i="4"/>
  <c r="F23" i="5"/>
  <c r="F15" i="5"/>
  <c r="J60" i="5"/>
  <c r="J66" i="5"/>
  <c r="J64" i="5"/>
  <c r="J56" i="5"/>
  <c r="H66" i="5"/>
  <c r="J52" i="5"/>
  <c r="J58" i="5"/>
  <c r="J50" i="5"/>
  <c r="B45" i="5"/>
  <c r="J39" i="5"/>
  <c r="G161" i="5"/>
  <c r="I161" i="5" s="1"/>
  <c r="G21" i="5"/>
  <c r="D45" i="5"/>
  <c r="F97" i="5"/>
  <c r="I97" i="5" s="1"/>
  <c r="F33" i="5"/>
  <c r="D35" i="5"/>
  <c r="B37" i="5"/>
  <c r="D39" i="5"/>
  <c r="B41" i="5"/>
  <c r="J41" i="5"/>
  <c r="H43" i="5"/>
  <c r="D64" i="5"/>
  <c r="F102" i="5"/>
  <c r="D37" i="5"/>
  <c r="H44" i="5"/>
  <c r="J37" i="5" s="1"/>
  <c r="F80" i="5"/>
  <c r="I80" i="5" s="1"/>
  <c r="F90" i="5"/>
  <c r="I90" i="5" s="1"/>
  <c r="F98" i="5"/>
  <c r="I98" i="5" s="1"/>
  <c r="F108" i="5"/>
  <c r="I108" i="5" s="1"/>
  <c r="I13" i="5"/>
  <c r="C17" i="5"/>
  <c r="C21" i="5" s="1"/>
  <c r="I19" i="5"/>
  <c r="G25" i="5"/>
  <c r="D26" i="5" s="1"/>
  <c r="H33" i="5"/>
  <c r="F35" i="5"/>
  <c r="F37" i="5"/>
  <c r="F39" i="5"/>
  <c r="D41" i="5"/>
  <c r="B43" i="5"/>
  <c r="D54" i="5"/>
  <c r="D62" i="5"/>
  <c r="F113" i="5"/>
  <c r="I113" i="5" s="1"/>
  <c r="D14" i="5"/>
  <c r="D20" i="5"/>
  <c r="H37" i="5"/>
  <c r="F54" i="5"/>
  <c r="F81" i="5"/>
  <c r="I81" i="5" s="1"/>
  <c r="F85" i="5"/>
  <c r="I85" i="5" s="1"/>
  <c r="F99" i="5"/>
  <c r="I99" i="5" s="1"/>
  <c r="F105" i="5"/>
  <c r="I105" i="5" s="1"/>
  <c r="F109" i="5"/>
  <c r="C11" i="5"/>
  <c r="D11" i="5"/>
  <c r="E14" i="5"/>
  <c r="E16" i="5" s="1"/>
  <c r="E20" i="5"/>
  <c r="E22" i="5" s="1"/>
  <c r="B33" i="5"/>
  <c r="J33" i="5"/>
  <c r="H35" i="5"/>
  <c r="H39" i="5"/>
  <c r="F41" i="5"/>
  <c r="D43" i="5"/>
  <c r="H54" i="5"/>
  <c r="D60" i="5"/>
  <c r="H62" i="5"/>
  <c r="F110" i="5"/>
  <c r="J110" i="5" s="1"/>
  <c r="F115" i="5"/>
  <c r="J115" i="5" s="1"/>
  <c r="F78" i="5"/>
  <c r="I78" i="5" s="1"/>
  <c r="F82" i="5"/>
  <c r="I82" i="5" s="1"/>
  <c r="F86" i="5"/>
  <c r="F95" i="5"/>
  <c r="F106" i="5"/>
  <c r="I106" i="5" s="1"/>
  <c r="E11" i="5"/>
  <c r="B35" i="5"/>
  <c r="B39" i="5"/>
  <c r="F96" i="5"/>
  <c r="F111" i="5"/>
  <c r="I111" i="5" s="1"/>
  <c r="G27" i="6" l="1"/>
  <c r="C23" i="5"/>
  <c r="C15" i="5"/>
  <c r="D22" i="5"/>
  <c r="G20" i="5"/>
  <c r="E162" i="5"/>
  <c r="D23" i="5"/>
  <c r="D15" i="5"/>
  <c r="G15" i="5" s="1"/>
  <c r="D16" i="5"/>
  <c r="G14" i="5"/>
  <c r="E15" i="5"/>
  <c r="E23" i="5"/>
  <c r="I25" i="5"/>
  <c r="F26" i="5"/>
  <c r="J26" i="5"/>
  <c r="K26" i="5" s="1"/>
  <c r="J45" i="5"/>
  <c r="H45" i="5"/>
  <c r="F162" i="5"/>
  <c r="J43" i="5"/>
  <c r="E26" i="5"/>
  <c r="G26" i="5" s="1"/>
  <c r="F45" i="5"/>
  <c r="D162" i="5"/>
  <c r="J35" i="5"/>
  <c r="J24" i="4" l="1"/>
  <c r="E24" i="4"/>
  <c r="F24" i="4"/>
  <c r="D24" i="4"/>
  <c r="G23" i="5"/>
  <c r="D24" i="5"/>
  <c r="E24" i="5"/>
  <c r="G24" i="4" l="1"/>
  <c r="J24" i="5"/>
  <c r="K24" i="5" s="1"/>
  <c r="I23" i="5"/>
  <c r="F24" i="5"/>
  <c r="G24" i="5" s="1"/>
  <c r="H184" i="4" l="1"/>
  <c r="K183" i="4"/>
  <c r="Q182" i="4"/>
  <c r="I182" i="4"/>
  <c r="G182" i="4" s="1"/>
  <c r="C182" i="4" s="1"/>
  <c r="K181" i="4"/>
  <c r="I180" i="4"/>
  <c r="G180" i="4" s="1"/>
  <c r="Q179" i="4"/>
  <c r="Q180" i="4" s="1"/>
  <c r="H175" i="4"/>
  <c r="K174" i="4"/>
  <c r="I173" i="4"/>
  <c r="G173" i="4" s="1"/>
  <c r="F173" i="4" s="1"/>
  <c r="K172" i="4"/>
  <c r="I171" i="4"/>
  <c r="G171" i="4" s="1"/>
  <c r="I56" i="4"/>
  <c r="I43" i="4" s="1"/>
  <c r="G56" i="4"/>
  <c r="G43" i="4" s="1"/>
  <c r="E56" i="4"/>
  <c r="E43" i="4" s="1"/>
  <c r="C56" i="4"/>
  <c r="C43" i="4" s="1"/>
  <c r="I47" i="4"/>
  <c r="G47" i="4"/>
  <c r="E47" i="4"/>
  <c r="C47" i="4"/>
  <c r="I45" i="4"/>
  <c r="G45" i="4"/>
  <c r="E45" i="4"/>
  <c r="C45" i="4"/>
  <c r="I41" i="4"/>
  <c r="G41" i="4"/>
  <c r="E41" i="4"/>
  <c r="C41" i="4"/>
  <c r="I39" i="4"/>
  <c r="G39" i="4"/>
  <c r="E39" i="4"/>
  <c r="C39" i="4"/>
  <c r="I37" i="4"/>
  <c r="G37" i="4"/>
  <c r="E37" i="4"/>
  <c r="C37" i="4"/>
  <c r="I35" i="4"/>
  <c r="N28" i="4"/>
  <c r="E20" i="4"/>
  <c r="E28" i="4" s="1"/>
  <c r="N16" i="4"/>
  <c r="G13" i="4"/>
  <c r="J14" i="4" s="1"/>
  <c r="K14" i="4" s="1"/>
  <c r="P12" i="4"/>
  <c r="P13" i="4" s="1"/>
  <c r="P14" i="4" s="1"/>
  <c r="P15" i="4" s="1"/>
  <c r="I11" i="4"/>
  <c r="G11" i="4" s="1"/>
  <c r="E35" i="4" l="1"/>
  <c r="E57" i="4" s="1"/>
  <c r="E14" i="4"/>
  <c r="F20" i="4"/>
  <c r="F28" i="4" s="1"/>
  <c r="D20" i="4"/>
  <c r="G175" i="4"/>
  <c r="I175" i="4" s="1"/>
  <c r="E171" i="4"/>
  <c r="D171" i="4"/>
  <c r="C171" i="4"/>
  <c r="F171" i="4"/>
  <c r="F175" i="4" s="1"/>
  <c r="F11" i="4"/>
  <c r="F15" i="4" s="1"/>
  <c r="E11" i="4"/>
  <c r="E15" i="4" s="1"/>
  <c r="D11" i="4"/>
  <c r="D15" i="4" s="1"/>
  <c r="C11" i="4"/>
  <c r="C15" i="4" s="1"/>
  <c r="I57" i="4"/>
  <c r="I13" i="4"/>
  <c r="C35" i="4"/>
  <c r="C57" i="4" s="1"/>
  <c r="G184" i="4"/>
  <c r="I184" i="4" s="1"/>
  <c r="D14" i="4"/>
  <c r="I19" i="4"/>
  <c r="C173" i="4"/>
  <c r="F14" i="4"/>
  <c r="D173" i="4"/>
  <c r="E173" i="4"/>
  <c r="C180" i="4"/>
  <c r="C184" i="4" s="1"/>
  <c r="E27" i="4"/>
  <c r="G35" i="4"/>
  <c r="G57" i="4" s="1"/>
  <c r="H132" i="3"/>
  <c r="G132" i="3"/>
  <c r="I132" i="3" s="1"/>
  <c r="K131" i="3"/>
  <c r="Q130" i="3"/>
  <c r="I130" i="3"/>
  <c r="G130" i="3"/>
  <c r="C130" i="3" s="1"/>
  <c r="K129" i="3"/>
  <c r="Q128" i="3"/>
  <c r="I128" i="3"/>
  <c r="G128" i="3"/>
  <c r="D130" i="3" s="1"/>
  <c r="Q127" i="3"/>
  <c r="H123" i="3"/>
  <c r="K122" i="3"/>
  <c r="I121" i="3"/>
  <c r="G121" i="3"/>
  <c r="F121" i="3" s="1"/>
  <c r="K120" i="3"/>
  <c r="I119" i="3"/>
  <c r="G119" i="3" s="1"/>
  <c r="G112" i="3"/>
  <c r="H106" i="3"/>
  <c r="G106" i="3"/>
  <c r="F106" i="3"/>
  <c r="E106" i="3"/>
  <c r="D106" i="3"/>
  <c r="J105" i="3"/>
  <c r="J104" i="3"/>
  <c r="J103" i="3"/>
  <c r="J102" i="3"/>
  <c r="J101" i="3"/>
  <c r="J100" i="3"/>
  <c r="J106" i="3" s="1"/>
  <c r="J99" i="3"/>
  <c r="P98" i="3"/>
  <c r="O89" i="3"/>
  <c r="G87" i="3"/>
  <c r="P79" i="3"/>
  <c r="I71" i="3"/>
  <c r="I54" i="3" s="1"/>
  <c r="I72" i="3" s="1"/>
  <c r="G71" i="3"/>
  <c r="E71" i="3"/>
  <c r="E64" i="3" s="1"/>
  <c r="D71" i="3"/>
  <c r="C71" i="3"/>
  <c r="I70" i="3"/>
  <c r="G70" i="3"/>
  <c r="E70" i="3"/>
  <c r="C70" i="3"/>
  <c r="H69" i="3"/>
  <c r="I68" i="3"/>
  <c r="G68" i="3"/>
  <c r="E68" i="3"/>
  <c r="C68" i="3"/>
  <c r="F67" i="3"/>
  <c r="H67" i="3" s="1"/>
  <c r="H68" i="3" s="1"/>
  <c r="B67" i="3"/>
  <c r="I66" i="3"/>
  <c r="G66" i="3"/>
  <c r="E66" i="3"/>
  <c r="C66" i="3"/>
  <c r="F65" i="3"/>
  <c r="B65" i="3"/>
  <c r="I64" i="3"/>
  <c r="G64" i="3"/>
  <c r="C64" i="3"/>
  <c r="F63" i="3"/>
  <c r="B63" i="3"/>
  <c r="I62" i="3"/>
  <c r="G62" i="3"/>
  <c r="E62" i="3"/>
  <c r="C62" i="3"/>
  <c r="F61" i="3"/>
  <c r="B61" i="3"/>
  <c r="G60" i="3"/>
  <c r="E60" i="3"/>
  <c r="C60" i="3"/>
  <c r="F59" i="3"/>
  <c r="H59" i="3" s="1"/>
  <c r="H60" i="3" s="1"/>
  <c r="B59" i="3"/>
  <c r="I58" i="3"/>
  <c r="G58" i="3"/>
  <c r="C58" i="3"/>
  <c r="F57" i="3"/>
  <c r="B57" i="3"/>
  <c r="I56" i="3"/>
  <c r="E56" i="3"/>
  <c r="C56" i="3"/>
  <c r="F55" i="3"/>
  <c r="B55" i="3"/>
  <c r="G54" i="3"/>
  <c r="E54" i="3"/>
  <c r="C54" i="3"/>
  <c r="C72" i="3" s="1"/>
  <c r="F53" i="3"/>
  <c r="B53" i="3"/>
  <c r="I48" i="3"/>
  <c r="I43" i="3" s="1"/>
  <c r="G48" i="3"/>
  <c r="G43" i="3" s="1"/>
  <c r="E48" i="3"/>
  <c r="E43" i="3" s="1"/>
  <c r="D48" i="3"/>
  <c r="C48" i="3"/>
  <c r="I47" i="3"/>
  <c r="G47" i="3"/>
  <c r="E47" i="3"/>
  <c r="C47" i="3"/>
  <c r="F46" i="3"/>
  <c r="B46" i="3"/>
  <c r="I45" i="3"/>
  <c r="G45" i="3"/>
  <c r="E45" i="3"/>
  <c r="C45" i="3"/>
  <c r="F44" i="3"/>
  <c r="B44" i="3"/>
  <c r="C43" i="3"/>
  <c r="F42" i="3"/>
  <c r="B42" i="3"/>
  <c r="I41" i="3"/>
  <c r="G41" i="3"/>
  <c r="E41" i="3"/>
  <c r="C41" i="3"/>
  <c r="F40" i="3"/>
  <c r="B40" i="3"/>
  <c r="I39" i="3"/>
  <c r="G39" i="3"/>
  <c r="E39" i="3"/>
  <c r="C39" i="3"/>
  <c r="F38" i="3"/>
  <c r="B38" i="3"/>
  <c r="C37" i="3"/>
  <c r="F36" i="3"/>
  <c r="B36" i="3"/>
  <c r="I35" i="3"/>
  <c r="G35" i="3"/>
  <c r="E35" i="3"/>
  <c r="C35" i="3"/>
  <c r="F34" i="3"/>
  <c r="F63" i="4" s="1"/>
  <c r="E33" i="3"/>
  <c r="E49" i="3" s="1"/>
  <c r="C33" i="3"/>
  <c r="C49" i="3" s="1"/>
  <c r="F32" i="3"/>
  <c r="H32" i="3" s="1"/>
  <c r="H33" i="3" s="1"/>
  <c r="B32" i="3"/>
  <c r="N26" i="3"/>
  <c r="M24" i="3"/>
  <c r="L23" i="3"/>
  <c r="K23" i="3"/>
  <c r="F23" i="3"/>
  <c r="G23" i="3" s="1"/>
  <c r="D23" i="3"/>
  <c r="C23" i="3"/>
  <c r="E22" i="3"/>
  <c r="D22" i="3"/>
  <c r="I21" i="3"/>
  <c r="G21" i="3"/>
  <c r="J22" i="3" s="1"/>
  <c r="G19" i="3"/>
  <c r="F20" i="3" s="1"/>
  <c r="F26" i="3" s="1"/>
  <c r="I17" i="3"/>
  <c r="G17" i="3"/>
  <c r="F17" i="3" s="1"/>
  <c r="N16" i="3"/>
  <c r="P13" i="3"/>
  <c r="P14" i="3" s="1"/>
  <c r="P15" i="3" s="1"/>
  <c r="G13" i="3"/>
  <c r="J14" i="3" s="1"/>
  <c r="K14" i="3" s="1"/>
  <c r="P12" i="3"/>
  <c r="I11" i="3"/>
  <c r="G11" i="3" s="1"/>
  <c r="G20" i="4" l="1"/>
  <c r="H63" i="4"/>
  <c r="F64" i="4" s="1"/>
  <c r="B65" i="4"/>
  <c r="H42" i="3"/>
  <c r="H46" i="3"/>
  <c r="F48" i="3"/>
  <c r="F61" i="4"/>
  <c r="F43" i="3"/>
  <c r="H36" i="3"/>
  <c r="D37" i="3" s="1"/>
  <c r="B69" i="4"/>
  <c r="F47" i="3"/>
  <c r="B64" i="3"/>
  <c r="F68" i="3"/>
  <c r="B56" i="3"/>
  <c r="F64" i="3"/>
  <c r="B71" i="3"/>
  <c r="H36" i="4"/>
  <c r="H63" i="3"/>
  <c r="H64" i="3" s="1"/>
  <c r="H38" i="3"/>
  <c r="B67" i="4"/>
  <c r="F67" i="4"/>
  <c r="H55" i="3"/>
  <c r="F56" i="3" s="1"/>
  <c r="F71" i="3"/>
  <c r="F37" i="3"/>
  <c r="F65" i="4"/>
  <c r="B33" i="3"/>
  <c r="B61" i="4"/>
  <c r="H53" i="3"/>
  <c r="F54" i="3" s="1"/>
  <c r="B60" i="3"/>
  <c r="H50" i="4"/>
  <c r="B68" i="3"/>
  <c r="E184" i="4"/>
  <c r="F16" i="4"/>
  <c r="F22" i="4"/>
  <c r="E16" i="4"/>
  <c r="E22" i="4"/>
  <c r="D28" i="4"/>
  <c r="F176" i="4"/>
  <c r="C175" i="4"/>
  <c r="G15" i="4"/>
  <c r="D175" i="4"/>
  <c r="D176" i="4" s="1"/>
  <c r="G14" i="4"/>
  <c r="D16" i="4"/>
  <c r="E175" i="4"/>
  <c r="E176" i="4" s="1"/>
  <c r="E11" i="3"/>
  <c r="E15" i="3" s="1"/>
  <c r="F11" i="3"/>
  <c r="F15" i="3" s="1"/>
  <c r="C11" i="3"/>
  <c r="C15" i="3" s="1"/>
  <c r="D11" i="3"/>
  <c r="D15" i="3" s="1"/>
  <c r="G15" i="3" s="1"/>
  <c r="H56" i="3"/>
  <c r="D60" i="3"/>
  <c r="B39" i="3"/>
  <c r="D39" i="3"/>
  <c r="H39" i="3"/>
  <c r="F39" i="3"/>
  <c r="F60" i="3"/>
  <c r="D24" i="3"/>
  <c r="J24" i="3"/>
  <c r="I23" i="3"/>
  <c r="G25" i="3"/>
  <c r="E24" i="3"/>
  <c r="F70" i="3"/>
  <c r="B43" i="3"/>
  <c r="D68" i="3"/>
  <c r="D64" i="3"/>
  <c r="D70" i="3"/>
  <c r="B70" i="3"/>
  <c r="D47" i="3"/>
  <c r="D43" i="3"/>
  <c r="H43" i="3"/>
  <c r="B47" i="3"/>
  <c r="E72" i="3"/>
  <c r="H47" i="3"/>
  <c r="G123" i="3"/>
  <c r="I123" i="3" s="1"/>
  <c r="E119" i="3"/>
  <c r="D119" i="3"/>
  <c r="C119" i="3"/>
  <c r="F119" i="3"/>
  <c r="F123" i="3" s="1"/>
  <c r="F124" i="3" s="1"/>
  <c r="J20" i="3"/>
  <c r="F25" i="3"/>
  <c r="I33" i="3"/>
  <c r="I49" i="3" s="1"/>
  <c r="D58" i="3"/>
  <c r="E128" i="3"/>
  <c r="E130" i="3"/>
  <c r="I13" i="3"/>
  <c r="F24" i="3"/>
  <c r="D54" i="3"/>
  <c r="H70" i="3"/>
  <c r="F128" i="3"/>
  <c r="F130" i="3"/>
  <c r="F132" i="3" s="1"/>
  <c r="F133" i="3" s="1"/>
  <c r="E14" i="3"/>
  <c r="E16" i="3" s="1"/>
  <c r="C17" i="3"/>
  <c r="C25" i="3" s="1"/>
  <c r="D20" i="3"/>
  <c r="H34" i="3"/>
  <c r="F35" i="3" s="1"/>
  <c r="H61" i="3"/>
  <c r="F62" i="3" s="1"/>
  <c r="H65" i="3"/>
  <c r="B66" i="3" s="1"/>
  <c r="C121" i="3"/>
  <c r="I19" i="3"/>
  <c r="B48" i="3"/>
  <c r="F14" i="3"/>
  <c r="F16" i="3" s="1"/>
  <c r="D17" i="3"/>
  <c r="D25" i="3" s="1"/>
  <c r="E20" i="3"/>
  <c r="E26" i="3" s="1"/>
  <c r="F22" i="3"/>
  <c r="G22" i="3" s="1"/>
  <c r="F33" i="3"/>
  <c r="H37" i="3"/>
  <c r="H40" i="3"/>
  <c r="B41" i="3" s="1"/>
  <c r="H44" i="3"/>
  <c r="H57" i="3"/>
  <c r="D121" i="3"/>
  <c r="E17" i="3"/>
  <c r="E25" i="3" s="1"/>
  <c r="G33" i="3"/>
  <c r="G49" i="3" s="1"/>
  <c r="E121" i="3"/>
  <c r="C128" i="3"/>
  <c r="C132" i="3" s="1"/>
  <c r="D14" i="3"/>
  <c r="D33" i="3"/>
  <c r="D128" i="3"/>
  <c r="D132" i="3" s="1"/>
  <c r="D133" i="3" s="1"/>
  <c r="B57" i="4" l="1"/>
  <c r="H69" i="4"/>
  <c r="B70" i="4" s="1"/>
  <c r="B83" i="4"/>
  <c r="D37" i="4"/>
  <c r="F37" i="4"/>
  <c r="F83" i="4"/>
  <c r="H38" i="4"/>
  <c r="B39" i="4" s="1"/>
  <c r="H64" i="4"/>
  <c r="D64" i="4"/>
  <c r="B64" i="4"/>
  <c r="H42" i="4"/>
  <c r="H71" i="3"/>
  <c r="F72" i="3" s="1"/>
  <c r="H61" i="4"/>
  <c r="B62" i="4" s="1"/>
  <c r="B37" i="4"/>
  <c r="H52" i="4"/>
  <c r="B53" i="4" s="1"/>
  <c r="F66" i="3"/>
  <c r="H37" i="4"/>
  <c r="H67" i="4"/>
  <c r="H34" i="4"/>
  <c r="H40" i="4"/>
  <c r="B45" i="4" s="1"/>
  <c r="H65" i="4"/>
  <c r="B66" i="4" s="1"/>
  <c r="H46" i="4"/>
  <c r="B51" i="4"/>
  <c r="H44" i="4"/>
  <c r="B54" i="3"/>
  <c r="H54" i="3" s="1"/>
  <c r="H48" i="3"/>
  <c r="B49" i="3" s="1"/>
  <c r="H58" i="3"/>
  <c r="J58" i="3"/>
  <c r="G20" i="3"/>
  <c r="D26" i="3"/>
  <c r="J64" i="3"/>
  <c r="E123" i="3"/>
  <c r="E124" i="3" s="1"/>
  <c r="G14" i="3"/>
  <c r="D16" i="3"/>
  <c r="H45" i="3"/>
  <c r="J60" i="3"/>
  <c r="B35" i="3"/>
  <c r="D66" i="3"/>
  <c r="D62" i="3"/>
  <c r="F45" i="3"/>
  <c r="H41" i="3"/>
  <c r="D45" i="3"/>
  <c r="D41" i="3"/>
  <c r="F41" i="3"/>
  <c r="G24" i="3"/>
  <c r="J72" i="3"/>
  <c r="H72" i="3"/>
  <c r="O84" i="3"/>
  <c r="J56" i="3"/>
  <c r="B58" i="3"/>
  <c r="J66" i="3"/>
  <c r="H66" i="3"/>
  <c r="O71" i="3" s="1"/>
  <c r="J54" i="3"/>
  <c r="B45" i="3"/>
  <c r="J62" i="3"/>
  <c r="H62" i="3"/>
  <c r="C123" i="3"/>
  <c r="B62" i="3"/>
  <c r="D35" i="3"/>
  <c r="H35" i="3"/>
  <c r="D56" i="3"/>
  <c r="J68" i="3"/>
  <c r="E132" i="3"/>
  <c r="E133" i="3" s="1"/>
  <c r="D123" i="3"/>
  <c r="D124" i="3" s="1"/>
  <c r="B37" i="3"/>
  <c r="F58" i="3"/>
  <c r="B72" i="3"/>
  <c r="H51" i="4" l="1"/>
  <c r="B41" i="4"/>
  <c r="F53" i="4"/>
  <c r="H39" i="4"/>
  <c r="D68" i="4"/>
  <c r="H68" i="4"/>
  <c r="H83" i="4"/>
  <c r="D62" i="4"/>
  <c r="H62" i="4"/>
  <c r="H66" i="4"/>
  <c r="D66" i="4"/>
  <c r="D39" i="4"/>
  <c r="F62" i="4"/>
  <c r="F66" i="4"/>
  <c r="F39" i="4"/>
  <c r="H70" i="4"/>
  <c r="D70" i="4"/>
  <c r="F70" i="4"/>
  <c r="B68" i="4"/>
  <c r="F68" i="4"/>
  <c r="B35" i="4"/>
  <c r="B43" i="4"/>
  <c r="H43" i="4"/>
  <c r="D47" i="4"/>
  <c r="B47" i="4"/>
  <c r="F43" i="4"/>
  <c r="D43" i="4"/>
  <c r="F47" i="4"/>
  <c r="H35" i="4"/>
  <c r="D35" i="4"/>
  <c r="F35" i="4"/>
  <c r="H45" i="4"/>
  <c r="H47" i="4"/>
  <c r="D51" i="4"/>
  <c r="F51" i="4"/>
  <c r="H41" i="4"/>
  <c r="D41" i="4"/>
  <c r="D45" i="4"/>
  <c r="F41" i="4"/>
  <c r="F45" i="4"/>
  <c r="D53" i="4"/>
  <c r="H53" i="4"/>
  <c r="J45" i="3"/>
  <c r="J35" i="3"/>
  <c r="J41" i="3"/>
  <c r="F85" i="3"/>
  <c r="I85" i="3" s="1"/>
  <c r="F95" i="3"/>
  <c r="J95" i="3" s="1"/>
  <c r="F96" i="3"/>
  <c r="I96" i="3" s="1"/>
  <c r="F86" i="3"/>
  <c r="I86" i="3" s="1"/>
  <c r="F91" i="3"/>
  <c r="I91" i="3" s="1"/>
  <c r="F87" i="3"/>
  <c r="I87" i="3" s="1"/>
  <c r="D72" i="3"/>
  <c r="J49" i="3"/>
  <c r="O76" i="3"/>
  <c r="O88" i="3" s="1"/>
  <c r="H49" i="3"/>
  <c r="J47" i="3"/>
  <c r="J33" i="3"/>
  <c r="J37" i="3"/>
  <c r="D49" i="3"/>
  <c r="J70" i="3"/>
  <c r="J43" i="3"/>
  <c r="F49" i="3"/>
  <c r="J39" i="3"/>
  <c r="O122" i="4" l="1"/>
  <c r="F135" i="4" s="1"/>
  <c r="F139" i="4"/>
  <c r="I139" i="4" s="1"/>
  <c r="F131" i="4"/>
  <c r="I131" i="4" s="1"/>
  <c r="F137" i="4"/>
  <c r="I137" i="4" s="1"/>
  <c r="F136" i="4"/>
  <c r="I136" i="4" s="1"/>
  <c r="J135" i="4"/>
  <c r="F134" i="4"/>
  <c r="I134" i="4" s="1"/>
  <c r="F138" i="4"/>
  <c r="J138" i="4" s="1"/>
  <c r="F133" i="4"/>
  <c r="I133" i="4" s="1"/>
  <c r="F132" i="4"/>
  <c r="I132" i="4" s="1"/>
  <c r="O136" i="4"/>
  <c r="J70" i="4"/>
  <c r="J62" i="4"/>
  <c r="O56" i="4"/>
  <c r="B84" i="4"/>
  <c r="F84" i="4"/>
  <c r="D84" i="4"/>
  <c r="J84" i="4"/>
  <c r="H84" i="4"/>
  <c r="J82" i="4"/>
  <c r="J78" i="4"/>
  <c r="J80" i="4"/>
  <c r="J74" i="4"/>
  <c r="J72" i="4"/>
  <c r="J76" i="4"/>
  <c r="J64" i="4"/>
  <c r="J66" i="4"/>
  <c r="J68" i="4"/>
  <c r="J39" i="4"/>
  <c r="J43" i="4"/>
  <c r="J57" i="4"/>
  <c r="J49" i="4"/>
  <c r="J53" i="4"/>
  <c r="J37" i="4"/>
  <c r="J45" i="4"/>
  <c r="J51" i="4"/>
  <c r="J55" i="4"/>
  <c r="F57" i="4"/>
  <c r="J41" i="4"/>
  <c r="J35" i="4"/>
  <c r="J47" i="4"/>
  <c r="F90" i="3"/>
  <c r="J90" i="3" s="1"/>
  <c r="F93" i="3"/>
  <c r="I93" i="3" s="1"/>
  <c r="F92" i="3"/>
  <c r="I92" i="3" s="1"/>
  <c r="O92" i="3"/>
  <c r="F89" i="3"/>
  <c r="I89" i="3" s="1"/>
  <c r="F88" i="3"/>
  <c r="J88" i="3" s="1"/>
  <c r="F94" i="3"/>
  <c r="J94" i="3" s="1"/>
  <c r="F82" i="3"/>
  <c r="F77" i="3"/>
  <c r="F81" i="3"/>
  <c r="F79" i="3"/>
  <c r="F80" i="3"/>
  <c r="I80" i="3" s="1"/>
  <c r="F78" i="3"/>
  <c r="F124" i="4" l="1"/>
  <c r="I124" i="4" s="1"/>
  <c r="I82" i="3"/>
  <c r="J82" i="3"/>
  <c r="J79" i="3"/>
  <c r="I79" i="3"/>
  <c r="S79" i="3" s="1"/>
  <c r="I78" i="3"/>
  <c r="J78" i="3"/>
  <c r="J81" i="3"/>
  <c r="I81" i="3"/>
  <c r="I77" i="3"/>
  <c r="I60" i="3" s="1"/>
  <c r="J77" i="3"/>
  <c r="F127" i="4" l="1"/>
  <c r="I127" i="4" s="1"/>
  <c r="I53" i="4"/>
  <c r="M161" i="2"/>
  <c r="J161" i="2"/>
  <c r="K161" i="2" s="1"/>
  <c r="H160" i="2"/>
  <c r="K159" i="2"/>
  <c r="Q158" i="2"/>
  <c r="I158" i="2"/>
  <c r="G158" i="2" s="1"/>
  <c r="Q157" i="2"/>
  <c r="K154" i="2"/>
  <c r="K152" i="2"/>
  <c r="I151" i="2"/>
  <c r="I153" i="2" s="1"/>
  <c r="G144" i="2"/>
  <c r="N141" i="2"/>
  <c r="O138" i="2"/>
  <c r="H136" i="2"/>
  <c r="G136" i="2"/>
  <c r="F136" i="2"/>
  <c r="E136" i="2"/>
  <c r="D136" i="2"/>
  <c r="P135" i="2"/>
  <c r="J135" i="2"/>
  <c r="J134" i="2"/>
  <c r="J133" i="2"/>
  <c r="O132" i="2"/>
  <c r="J132" i="2"/>
  <c r="Q131" i="2"/>
  <c r="J131" i="2"/>
  <c r="J130" i="2"/>
  <c r="R129" i="2"/>
  <c r="J129" i="2"/>
  <c r="J136" i="2" s="1"/>
  <c r="R128" i="2"/>
  <c r="Q127" i="2"/>
  <c r="G103" i="2"/>
  <c r="F103" i="2"/>
  <c r="I103" i="2" s="1"/>
  <c r="G102" i="2"/>
  <c r="F102" i="2" s="1"/>
  <c r="J102" i="2" s="1"/>
  <c r="G101" i="2"/>
  <c r="F101" i="2" s="1"/>
  <c r="J101" i="2" s="1"/>
  <c r="G100" i="2"/>
  <c r="F100" i="2" s="1"/>
  <c r="I100" i="2" s="1"/>
  <c r="G99" i="2"/>
  <c r="F99" i="2" s="1"/>
  <c r="I99" i="2" s="1"/>
  <c r="G98" i="2"/>
  <c r="G97" i="2"/>
  <c r="G96" i="2"/>
  <c r="G95" i="2"/>
  <c r="F95" i="2"/>
  <c r="J95" i="2" s="1"/>
  <c r="G94" i="2"/>
  <c r="F94" i="2" s="1"/>
  <c r="I94" i="2" s="1"/>
  <c r="G93" i="2"/>
  <c r="F93" i="2" s="1"/>
  <c r="I93" i="2" s="1"/>
  <c r="G92" i="2"/>
  <c r="F92" i="2" s="1"/>
  <c r="I92" i="2" s="1"/>
  <c r="Q91" i="2"/>
  <c r="O91" i="2"/>
  <c r="F97" i="2" s="1"/>
  <c r="J97" i="2" s="1"/>
  <c r="G88" i="2"/>
  <c r="G86" i="2"/>
  <c r="R85" i="2"/>
  <c r="G85" i="2"/>
  <c r="R84" i="2"/>
  <c r="G84" i="2"/>
  <c r="G83" i="2"/>
  <c r="G82" i="2"/>
  <c r="G81" i="2"/>
  <c r="G80" i="2"/>
  <c r="G79" i="2"/>
  <c r="G78" i="2"/>
  <c r="O77" i="2"/>
  <c r="J77" i="2"/>
  <c r="P76" i="2"/>
  <c r="G76" i="2"/>
  <c r="J75" i="2"/>
  <c r="I75" i="2"/>
  <c r="S75" i="2" s="1"/>
  <c r="G74" i="2"/>
  <c r="Q73" i="2"/>
  <c r="Q72" i="2" s="1"/>
  <c r="G73" i="2"/>
  <c r="I67" i="2"/>
  <c r="G67" i="2"/>
  <c r="E67" i="2"/>
  <c r="D67" i="2"/>
  <c r="C67" i="2"/>
  <c r="C60" i="2" s="1"/>
  <c r="E66" i="2"/>
  <c r="D66" i="2"/>
  <c r="C66" i="2"/>
  <c r="F65" i="2"/>
  <c r="F66" i="2" s="1"/>
  <c r="B65" i="2"/>
  <c r="B66" i="2" s="1"/>
  <c r="E64" i="2"/>
  <c r="C64" i="2"/>
  <c r="B63" i="2"/>
  <c r="B64" i="2" s="1"/>
  <c r="I62" i="2"/>
  <c r="G62" i="2"/>
  <c r="E62" i="2"/>
  <c r="C62" i="2"/>
  <c r="F61" i="2"/>
  <c r="B61" i="2"/>
  <c r="B62" i="2" s="1"/>
  <c r="I60" i="2"/>
  <c r="G60" i="2"/>
  <c r="E60" i="2"/>
  <c r="F59" i="2"/>
  <c r="F60" i="2" s="1"/>
  <c r="B59" i="2"/>
  <c r="B60" i="2" s="1"/>
  <c r="I58" i="2"/>
  <c r="G58" i="2"/>
  <c r="E58" i="2"/>
  <c r="C58" i="2"/>
  <c r="F57" i="2"/>
  <c r="F58" i="2" s="1"/>
  <c r="B57" i="2"/>
  <c r="B58" i="2" s="1"/>
  <c r="I56" i="2"/>
  <c r="G56" i="2"/>
  <c r="E56" i="2"/>
  <c r="C56" i="2"/>
  <c r="F55" i="2"/>
  <c r="F56" i="2" s="1"/>
  <c r="B55" i="2"/>
  <c r="B56" i="2" s="1"/>
  <c r="C54" i="2"/>
  <c r="F53" i="2"/>
  <c r="B53" i="2"/>
  <c r="H53" i="2" s="1"/>
  <c r="I52" i="2"/>
  <c r="G52" i="2"/>
  <c r="E52" i="2"/>
  <c r="C52" i="2"/>
  <c r="F51" i="2"/>
  <c r="F52" i="2" s="1"/>
  <c r="B51" i="2"/>
  <c r="I50" i="2"/>
  <c r="I68" i="2" s="1"/>
  <c r="G50" i="2"/>
  <c r="G68" i="2" s="1"/>
  <c r="E50" i="2"/>
  <c r="E68" i="2" s="1"/>
  <c r="F49" i="2"/>
  <c r="B49" i="2"/>
  <c r="B67" i="2" s="1"/>
  <c r="I44" i="2"/>
  <c r="G44" i="2"/>
  <c r="E44" i="2"/>
  <c r="D44" i="2"/>
  <c r="C44" i="2"/>
  <c r="I43" i="2"/>
  <c r="G43" i="2"/>
  <c r="E43" i="2"/>
  <c r="C43" i="2"/>
  <c r="H42" i="2"/>
  <c r="F42" i="2"/>
  <c r="F43" i="2" s="1"/>
  <c r="B42" i="2"/>
  <c r="B43" i="2" s="1"/>
  <c r="I41" i="2"/>
  <c r="G41" i="2"/>
  <c r="E41" i="2"/>
  <c r="C41" i="2"/>
  <c r="H40" i="2"/>
  <c r="H41" i="2" s="1"/>
  <c r="F40" i="2"/>
  <c r="F41" i="2" s="1"/>
  <c r="B40" i="2"/>
  <c r="B41" i="2" s="1"/>
  <c r="I39" i="2"/>
  <c r="G39" i="2"/>
  <c r="E39" i="2"/>
  <c r="C39" i="2"/>
  <c r="H38" i="2"/>
  <c r="D43" i="2" s="1"/>
  <c r="F38" i="2"/>
  <c r="F39" i="2" s="1"/>
  <c r="B38" i="2"/>
  <c r="B39" i="2" s="1"/>
  <c r="I37" i="2"/>
  <c r="G37" i="2"/>
  <c r="E37" i="2"/>
  <c r="C37" i="2"/>
  <c r="H36" i="2"/>
  <c r="H37" i="2" s="1"/>
  <c r="F36" i="2"/>
  <c r="F37" i="2" s="1"/>
  <c r="B36" i="2"/>
  <c r="B37" i="2" s="1"/>
  <c r="I35" i="2"/>
  <c r="G35" i="2"/>
  <c r="E35" i="2"/>
  <c r="C35" i="2"/>
  <c r="H34" i="2"/>
  <c r="D35" i="2" s="1"/>
  <c r="F34" i="2"/>
  <c r="F35" i="2" s="1"/>
  <c r="B34" i="2"/>
  <c r="B35" i="2" s="1"/>
  <c r="C33" i="2"/>
  <c r="F32" i="2"/>
  <c r="B32" i="2"/>
  <c r="I31" i="2"/>
  <c r="G31" i="2"/>
  <c r="E31" i="2"/>
  <c r="C31" i="2"/>
  <c r="F30" i="2"/>
  <c r="B30" i="2"/>
  <c r="H30" i="2" s="1"/>
  <c r="I29" i="2"/>
  <c r="I45" i="2" s="1"/>
  <c r="G29" i="2"/>
  <c r="G45" i="2" s="1"/>
  <c r="E29" i="2"/>
  <c r="E45" i="2" s="1"/>
  <c r="C29" i="2"/>
  <c r="C45" i="2" s="1"/>
  <c r="F28" i="2"/>
  <c r="H28" i="2" s="1"/>
  <c r="B28" i="2"/>
  <c r="B44" i="2" s="1"/>
  <c r="N22" i="2"/>
  <c r="E20" i="2"/>
  <c r="E22" i="2" s="1"/>
  <c r="I19" i="2"/>
  <c r="G19" i="2"/>
  <c r="J20" i="2" s="1"/>
  <c r="G17" i="2"/>
  <c r="N16" i="2"/>
  <c r="F14" i="2"/>
  <c r="F16" i="2" s="1"/>
  <c r="I13" i="2"/>
  <c r="G13" i="2"/>
  <c r="J14" i="2" s="1"/>
  <c r="K14" i="2" s="1"/>
  <c r="P12" i="2"/>
  <c r="P13" i="2" s="1"/>
  <c r="P14" i="2" s="1"/>
  <c r="P15" i="2" s="1"/>
  <c r="G11" i="2"/>
  <c r="F11" i="2" s="1"/>
  <c r="F15" i="2" s="1"/>
  <c r="C11" i="2"/>
  <c r="C15" i="2" s="1"/>
  <c r="H31" i="2" l="1"/>
  <c r="B33" i="2"/>
  <c r="F31" i="2"/>
  <c r="B54" i="2"/>
  <c r="D31" i="2"/>
  <c r="D52" i="2"/>
  <c r="B31" i="2"/>
  <c r="F158" i="2"/>
  <c r="F160" i="2" s="1"/>
  <c r="E158" i="2"/>
  <c r="E160" i="2" s="1"/>
  <c r="D158" i="2"/>
  <c r="D160" i="2" s="1"/>
  <c r="C158" i="2"/>
  <c r="C160" i="2" s="1"/>
  <c r="F50" i="2"/>
  <c r="D29" i="2"/>
  <c r="F29" i="2"/>
  <c r="D50" i="2"/>
  <c r="B29" i="2"/>
  <c r="B50" i="2"/>
  <c r="H29" i="2"/>
  <c r="F17" i="2"/>
  <c r="F21" i="2" s="1"/>
  <c r="E17" i="2"/>
  <c r="E21" i="2" s="1"/>
  <c r="D17" i="2"/>
  <c r="D21" i="2" s="1"/>
  <c r="G21" i="2" s="1"/>
  <c r="C17" i="2"/>
  <c r="C21" i="2" s="1"/>
  <c r="F54" i="2"/>
  <c r="B52" i="2"/>
  <c r="D11" i="2"/>
  <c r="D15" i="2" s="1"/>
  <c r="H49" i="2"/>
  <c r="D58" i="2"/>
  <c r="D62" i="2"/>
  <c r="H63" i="2"/>
  <c r="F98" i="2"/>
  <c r="I98" i="2" s="1"/>
  <c r="E11" i="2"/>
  <c r="E15" i="2" s="1"/>
  <c r="D14" i="2"/>
  <c r="F44" i="2"/>
  <c r="H55" i="2"/>
  <c r="H59" i="2"/>
  <c r="E14" i="2"/>
  <c r="E16" i="2" s="1"/>
  <c r="D20" i="2"/>
  <c r="H32" i="2"/>
  <c r="H35" i="2"/>
  <c r="D37" i="2"/>
  <c r="H39" i="2"/>
  <c r="D41" i="2"/>
  <c r="H43" i="2"/>
  <c r="C50" i="2"/>
  <c r="C68" i="2" s="1"/>
  <c r="F62" i="2"/>
  <c r="G66" i="2"/>
  <c r="F67" i="2"/>
  <c r="F96" i="2"/>
  <c r="I96" i="2" s="1"/>
  <c r="D64" i="2"/>
  <c r="F20" i="2"/>
  <c r="F22" i="2" s="1"/>
  <c r="H51" i="2"/>
  <c r="D56" i="2"/>
  <c r="D60" i="2"/>
  <c r="H65" i="2"/>
  <c r="G151" i="2"/>
  <c r="H57" i="2"/>
  <c r="H61" i="2"/>
  <c r="F64" i="2"/>
  <c r="D39" i="2"/>
  <c r="G64" i="2"/>
  <c r="O73" i="2" l="1"/>
  <c r="J45" i="2"/>
  <c r="H45" i="2"/>
  <c r="D68" i="2"/>
  <c r="B45" i="2"/>
  <c r="J39" i="2"/>
  <c r="J31" i="2"/>
  <c r="J35" i="2"/>
  <c r="B68" i="2"/>
  <c r="J29" i="2"/>
  <c r="J37" i="2"/>
  <c r="J41" i="2"/>
  <c r="J43" i="2"/>
  <c r="J54" i="2"/>
  <c r="D45" i="2"/>
  <c r="J62" i="2"/>
  <c r="H62" i="2"/>
  <c r="J60" i="2"/>
  <c r="H60" i="2"/>
  <c r="G160" i="2"/>
  <c r="I160" i="2" s="1"/>
  <c r="D161" i="2"/>
  <c r="H67" i="2"/>
  <c r="H50" i="2"/>
  <c r="J50" i="2"/>
  <c r="F45" i="2"/>
  <c r="J56" i="2"/>
  <c r="H56" i="2"/>
  <c r="D16" i="2"/>
  <c r="G14" i="2"/>
  <c r="J58" i="2"/>
  <c r="H58" i="2"/>
  <c r="F151" i="2"/>
  <c r="F153" i="2" s="1"/>
  <c r="E151" i="2"/>
  <c r="E153" i="2" s="1"/>
  <c r="D151" i="2"/>
  <c r="D153" i="2" s="1"/>
  <c r="C151" i="2"/>
  <c r="C153" i="2" s="1"/>
  <c r="F68" i="2"/>
  <c r="G15" i="2"/>
  <c r="J66" i="2"/>
  <c r="H66" i="2"/>
  <c r="D33" i="2"/>
  <c r="D54" i="2"/>
  <c r="H33" i="2"/>
  <c r="J33" i="2"/>
  <c r="J52" i="2"/>
  <c r="H52" i="2"/>
  <c r="G20" i="2"/>
  <c r="D22" i="2"/>
  <c r="H64" i="2"/>
  <c r="J64" i="2"/>
  <c r="H54" i="2"/>
  <c r="F33" i="2"/>
  <c r="J68" i="2" l="1"/>
  <c r="H68" i="2"/>
  <c r="G153" i="2"/>
  <c r="D154" i="2" s="1"/>
  <c r="E154" i="2"/>
  <c r="F161" i="2"/>
  <c r="F154" i="2"/>
  <c r="E161" i="2"/>
  <c r="F74" i="2"/>
  <c r="O72" i="2"/>
  <c r="F76" i="2"/>
  <c r="F78" i="2"/>
  <c r="J78" i="2" l="1"/>
  <c r="I78" i="2"/>
  <c r="I64" i="2" s="1"/>
  <c r="J76" i="2"/>
  <c r="I76" i="2"/>
  <c r="S76" i="2" s="1"/>
  <c r="F88" i="2"/>
  <c r="F87" i="2"/>
  <c r="J87" i="2" s="1"/>
  <c r="F85" i="2"/>
  <c r="F81" i="2"/>
  <c r="F79" i="2"/>
  <c r="F86" i="2"/>
  <c r="F89" i="2"/>
  <c r="F80" i="2"/>
  <c r="F82" i="2"/>
  <c r="I82" i="2" s="1"/>
  <c r="F84" i="2"/>
  <c r="F73" i="2"/>
  <c r="F83" i="2"/>
  <c r="J74" i="2"/>
  <c r="I74" i="2"/>
  <c r="J85" i="2" l="1"/>
  <c r="I85" i="2"/>
  <c r="J73" i="2"/>
  <c r="I73" i="2"/>
  <c r="I88" i="2"/>
  <c r="J88" i="2"/>
  <c r="J81" i="2"/>
  <c r="I81" i="2"/>
  <c r="I84" i="2"/>
  <c r="J84" i="2"/>
  <c r="J83" i="2"/>
  <c r="I83" i="2"/>
  <c r="J80" i="2"/>
  <c r="I80" i="2"/>
  <c r="I66" i="2" s="1"/>
  <c r="J89" i="2"/>
  <c r="I89" i="2"/>
  <c r="J86" i="2"/>
  <c r="I86" i="2"/>
  <c r="J79" i="2"/>
  <c r="I79" i="2"/>
  <c r="K131" i="1" l="1"/>
  <c r="H130" i="1"/>
  <c r="F130" i="1"/>
  <c r="F131" i="1" s="1"/>
  <c r="E130" i="1"/>
  <c r="D130" i="1"/>
  <c r="G130" i="1" s="1"/>
  <c r="C130" i="1"/>
  <c r="K129" i="1"/>
  <c r="K127" i="1"/>
  <c r="G126" i="1"/>
  <c r="K122" i="1"/>
  <c r="H121" i="1"/>
  <c r="F121" i="1"/>
  <c r="E121" i="1"/>
  <c r="D121" i="1"/>
  <c r="C121" i="1"/>
  <c r="K120" i="1"/>
  <c r="G119" i="1"/>
  <c r="K118" i="1"/>
  <c r="G111" i="1"/>
  <c r="H101" i="1"/>
  <c r="G101" i="1"/>
  <c r="F101" i="1"/>
  <c r="E101" i="1"/>
  <c r="D101" i="1"/>
  <c r="J100" i="1"/>
  <c r="J99" i="1"/>
  <c r="J98" i="1"/>
  <c r="O97" i="1"/>
  <c r="J97" i="1"/>
  <c r="J96" i="1"/>
  <c r="J95" i="1"/>
  <c r="J101" i="1" s="1"/>
  <c r="J94" i="1"/>
  <c r="F70" i="1"/>
  <c r="F67" i="1"/>
  <c r="J67" i="1" s="1"/>
  <c r="R66" i="1"/>
  <c r="R65" i="1"/>
  <c r="F65" i="1"/>
  <c r="J65" i="1" s="1"/>
  <c r="F64" i="1"/>
  <c r="J64" i="1" s="1"/>
  <c r="F62" i="1"/>
  <c r="J62" i="1" s="1"/>
  <c r="F61" i="1"/>
  <c r="J61" i="1" s="1"/>
  <c r="J59" i="1"/>
  <c r="I59" i="1"/>
  <c r="F59" i="1"/>
  <c r="O58" i="1"/>
  <c r="J58" i="1"/>
  <c r="P57" i="1"/>
  <c r="F57" i="1"/>
  <c r="J57" i="1" s="1"/>
  <c r="J56" i="1"/>
  <c r="I56" i="1"/>
  <c r="S56" i="1" s="1"/>
  <c r="J55" i="1"/>
  <c r="I55" i="1"/>
  <c r="F55" i="1"/>
  <c r="G54" i="1"/>
  <c r="F54" i="1" s="1"/>
  <c r="Q53" i="1"/>
  <c r="O53" i="1"/>
  <c r="F69" i="1" s="1"/>
  <c r="F50" i="1"/>
  <c r="I50" i="1" s="1"/>
  <c r="I47" i="1"/>
  <c r="F47" i="1"/>
  <c r="F45" i="1"/>
  <c r="I45" i="1" s="1"/>
  <c r="F44" i="1"/>
  <c r="I42" i="1"/>
  <c r="F42" i="1"/>
  <c r="I41" i="1"/>
  <c r="F41" i="1"/>
  <c r="F40" i="1"/>
  <c r="I40" i="1" s="1"/>
  <c r="Q39" i="1"/>
  <c r="O39" i="1"/>
  <c r="F48" i="1" s="1"/>
  <c r="I48" i="1" s="1"/>
  <c r="I34" i="1"/>
  <c r="G34" i="1"/>
  <c r="E34" i="1"/>
  <c r="E33" i="1" s="1"/>
  <c r="D34" i="1"/>
  <c r="C34" i="1"/>
  <c r="I33" i="1"/>
  <c r="G33" i="1"/>
  <c r="C33" i="1"/>
  <c r="F32" i="1"/>
  <c r="B32" i="1"/>
  <c r="I31" i="1"/>
  <c r="G31" i="1"/>
  <c r="E31" i="1"/>
  <c r="C31" i="1"/>
  <c r="F30" i="1"/>
  <c r="B30" i="1"/>
  <c r="I29" i="1"/>
  <c r="G29" i="1"/>
  <c r="E29" i="1"/>
  <c r="C29" i="1"/>
  <c r="F28" i="1"/>
  <c r="B28" i="1"/>
  <c r="C27" i="1"/>
  <c r="F26" i="1"/>
  <c r="B26" i="1"/>
  <c r="I25" i="1"/>
  <c r="G25" i="1"/>
  <c r="E25" i="1"/>
  <c r="C25" i="1"/>
  <c r="F24" i="1"/>
  <c r="B24" i="1"/>
  <c r="I23" i="1"/>
  <c r="I35" i="1" s="1"/>
  <c r="G23" i="1"/>
  <c r="G35" i="1" s="1"/>
  <c r="C23" i="1"/>
  <c r="C35" i="1" s="1"/>
  <c r="F22" i="1"/>
  <c r="B22" i="1"/>
  <c r="N16" i="1"/>
  <c r="E15" i="1"/>
  <c r="P13" i="1"/>
  <c r="F13" i="1"/>
  <c r="D13" i="1"/>
  <c r="C13" i="1"/>
  <c r="G11" i="1"/>
  <c r="H101" i="4" l="1"/>
  <c r="H111" i="4"/>
  <c r="B112" i="4" s="1"/>
  <c r="H105" i="4"/>
  <c r="B106" i="4" s="1"/>
  <c r="C15" i="1"/>
  <c r="C25" i="4"/>
  <c r="C27" i="4" s="1"/>
  <c r="H30" i="1"/>
  <c r="B31" i="1" s="1"/>
  <c r="G13" i="1"/>
  <c r="O25" i="4" s="1"/>
  <c r="D25" i="4"/>
  <c r="H103" i="4"/>
  <c r="F104" i="4" s="1"/>
  <c r="F15" i="1"/>
  <c r="F25" i="4"/>
  <c r="H107" i="4"/>
  <c r="B108" i="4" s="1"/>
  <c r="H24" i="1"/>
  <c r="B34" i="1"/>
  <c r="D15" i="1"/>
  <c r="B25" i="1"/>
  <c r="H25" i="1"/>
  <c r="D25" i="1"/>
  <c r="J14" i="1"/>
  <c r="K14" i="1" s="1"/>
  <c r="F14" i="1"/>
  <c r="F16" i="1" s="1"/>
  <c r="I54" i="1"/>
  <c r="J54" i="1"/>
  <c r="D131" i="1"/>
  <c r="I130" i="1"/>
  <c r="B27" i="1"/>
  <c r="E131" i="1"/>
  <c r="H31" i="1"/>
  <c r="G15" i="1"/>
  <c r="D14" i="1"/>
  <c r="I62" i="1"/>
  <c r="I65" i="1"/>
  <c r="I67" i="1"/>
  <c r="F34" i="1"/>
  <c r="I57" i="1"/>
  <c r="S57" i="1" s="1"/>
  <c r="H22" i="1"/>
  <c r="B23" i="1" s="1"/>
  <c r="H26" i="1"/>
  <c r="F27" i="1" s="1"/>
  <c r="F46" i="1"/>
  <c r="I46" i="1" s="1"/>
  <c r="F51" i="1"/>
  <c r="I51" i="1" s="1"/>
  <c r="F60" i="1"/>
  <c r="F25" i="1"/>
  <c r="H28" i="1"/>
  <c r="B29" i="1" s="1"/>
  <c r="H32" i="1"/>
  <c r="B33" i="1" s="1"/>
  <c r="F63" i="1"/>
  <c r="J63" i="1" s="1"/>
  <c r="F68" i="1"/>
  <c r="F66" i="1"/>
  <c r="G121" i="1"/>
  <c r="D122" i="1" s="1"/>
  <c r="E23" i="1"/>
  <c r="E35" i="1" s="1"/>
  <c r="F43" i="1"/>
  <c r="I61" i="1"/>
  <c r="I64" i="1"/>
  <c r="B102" i="4" l="1"/>
  <c r="B104" i="4"/>
  <c r="H108" i="4"/>
  <c r="D108" i="4"/>
  <c r="D106" i="4"/>
  <c r="H106" i="4"/>
  <c r="H109" i="4"/>
  <c r="D112" i="4"/>
  <c r="H112" i="4"/>
  <c r="F31" i="1"/>
  <c r="F27" i="4"/>
  <c r="G25" i="4"/>
  <c r="F106" i="4"/>
  <c r="F108" i="4"/>
  <c r="D27" i="4"/>
  <c r="D31" i="1"/>
  <c r="F102" i="4"/>
  <c r="D102" i="4"/>
  <c r="H102" i="4"/>
  <c r="E14" i="1"/>
  <c r="E16" i="1" s="1"/>
  <c r="H104" i="4"/>
  <c r="D104" i="4"/>
  <c r="F112" i="4"/>
  <c r="F23" i="1"/>
  <c r="I121" i="1"/>
  <c r="E122" i="1"/>
  <c r="F122" i="1"/>
  <c r="D16" i="1"/>
  <c r="G14" i="1"/>
  <c r="H27" i="1"/>
  <c r="D27" i="1"/>
  <c r="D29" i="1"/>
  <c r="F29" i="1"/>
  <c r="H29" i="1"/>
  <c r="J60" i="1"/>
  <c r="I60" i="1"/>
  <c r="J66" i="1"/>
  <c r="I66" i="1"/>
  <c r="D33" i="1"/>
  <c r="F33" i="1"/>
  <c r="H33" i="1"/>
  <c r="D23" i="1"/>
  <c r="J23" i="1"/>
  <c r="H23" i="1"/>
  <c r="O135" i="4" l="1"/>
  <c r="H117" i="4"/>
  <c r="D118" i="4" s="1"/>
  <c r="B110" i="4"/>
  <c r="F26" i="4"/>
  <c r="E26" i="4"/>
  <c r="I25" i="4"/>
  <c r="G27" i="4"/>
  <c r="J26" i="4"/>
  <c r="K26" i="4" s="1"/>
  <c r="F110" i="4"/>
  <c r="D110" i="4"/>
  <c r="H110" i="4"/>
  <c r="J110" i="4"/>
  <c r="J106" i="4"/>
  <c r="J104" i="4"/>
  <c r="D26" i="4"/>
  <c r="J116" i="4"/>
  <c r="J33" i="1"/>
  <c r="J27" i="1"/>
  <c r="F35" i="1"/>
  <c r="J35" i="1"/>
  <c r="H35" i="1"/>
  <c r="J25" i="1"/>
  <c r="D35" i="1"/>
  <c r="B35" i="1"/>
  <c r="J31" i="1"/>
  <c r="J29" i="1"/>
  <c r="J102" i="4" l="1"/>
  <c r="J114" i="4"/>
  <c r="J118" i="4"/>
  <c r="J108" i="4"/>
  <c r="O141" i="4"/>
  <c r="B118" i="4"/>
  <c r="H118" i="4"/>
  <c r="F118" i="4"/>
  <c r="J112" i="4"/>
  <c r="G26" i="4"/>
  <c r="F148" i="4" l="1"/>
  <c r="F166" i="4"/>
  <c r="P154" i="4"/>
  <c r="F154" i="4"/>
  <c r="J154" i="4" s="1"/>
  <c r="F146" i="4"/>
  <c r="F155" i="4"/>
  <c r="F147" i="4"/>
  <c r="F156" i="4"/>
  <c r="F157" i="4"/>
  <c r="F144" i="4"/>
  <c r="F142" i="4"/>
  <c r="F150" i="4"/>
  <c r="F151" i="4"/>
  <c r="J151" i="4" s="1"/>
  <c r="F152" i="4"/>
  <c r="I152" i="4" s="1"/>
  <c r="F145" i="4"/>
  <c r="F153" i="4"/>
  <c r="I153" i="4" s="1"/>
  <c r="F143" i="4"/>
  <c r="F149" i="4"/>
  <c r="I148" i="4" l="1"/>
  <c r="J148" i="4"/>
  <c r="I144" i="4"/>
  <c r="S144" i="4" s="1"/>
  <c r="J144" i="4"/>
  <c r="J157" i="4"/>
  <c r="I157" i="4"/>
  <c r="I146" i="4"/>
  <c r="J146" i="4"/>
  <c r="I147" i="4"/>
  <c r="J147" i="4"/>
  <c r="I155" i="4"/>
  <c r="J155" i="4"/>
  <c r="I150" i="4"/>
  <c r="J150" i="4"/>
  <c r="J143" i="4"/>
  <c r="I143" i="4"/>
  <c r="J156" i="4"/>
  <c r="I156" i="4"/>
  <c r="I145" i="4"/>
  <c r="S145" i="4" s="1"/>
  <c r="J145" i="4"/>
  <c r="I149" i="4"/>
  <c r="J149" i="4"/>
  <c r="I142" i="4"/>
  <c r="J142" i="4"/>
  <c r="G63" i="7" l="1"/>
  <c r="F63" i="7" s="1"/>
  <c r="I63" i="7" s="1"/>
  <c r="G58" i="7" l="1"/>
  <c r="F58" i="7" s="1"/>
  <c r="I58" i="7" s="1"/>
  <c r="F119" i="8" l="1"/>
  <c r="J119" i="8" s="1"/>
  <c r="G102" i="8" l="1"/>
  <c r="F102" i="8" s="1"/>
  <c r="I102" i="8" s="1"/>
</calcChain>
</file>

<file path=xl/comments1.xml><?xml version="1.0" encoding="utf-8"?>
<comments xmlns="http://schemas.openxmlformats.org/spreadsheetml/2006/main">
  <authors>
    <author>Author</author>
  </authors>
  <commentList>
    <comment ref="G7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8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G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Kiểm tra lại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6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8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G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G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G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9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G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9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9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G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10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G1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3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G1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15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5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1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15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1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G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6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G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8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B1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ra m2/ palet</t>
        </r>
      </text>
    </comment>
    <comment ref="G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Khối lượng sử dụng DC2
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<sst xmlns="http://schemas.openxmlformats.org/spreadsheetml/2006/main" count="2449" uniqueCount="471">
  <si>
    <t>CÔNG TY CỔ PHẦN GẠCH MEN PHƯƠNG NAM</t>
  </si>
  <si>
    <t>PHÂN XƯỞNG SẢN XUẤT DC2</t>
  </si>
  <si>
    <t>BÁO CÁO KẾT QUẢ SẢN XUẤT DÂY CHUYỀN SỐ 2 THÁNG 3 NĂM 2026</t>
  </si>
  <si>
    <t>I.     Kết quả sản xuất tháng 03 năm 2026:</t>
  </si>
  <si>
    <t>I.         Kết quả sản lượng – Chất lượng – Thu hồi ∑AB/ép :</t>
  </si>
  <si>
    <t xml:space="preserve">1.       Kết quả thực hiện Sản lượng – Chất lượng – Thu hồi ∑AB/ép </t>
  </si>
  <si>
    <t>Kích thước</t>
  </si>
  <si>
    <t>Sản Lượng Ép</t>
  </si>
  <si>
    <t>Sản lượng thu hồi</t>
  </si>
  <si>
    <t>Tổng (A1+A+B)</t>
  </si>
  <si>
    <t>Số ngày sx</t>
  </si>
  <si>
    <t>TB/ngày</t>
  </si>
  <si>
    <t>A/ép (%)</t>
  </si>
  <si>
    <t>C</t>
  </si>
  <si>
    <t>Hủy</t>
  </si>
  <si>
    <t>Dừng ép</t>
  </si>
  <si>
    <t>KH/TH</t>
  </si>
  <si>
    <t>ĐVT</t>
  </si>
  <si>
    <t>A1</t>
  </si>
  <si>
    <t>A</t>
  </si>
  <si>
    <t>B</t>
  </si>
  <si>
    <t>m2</t>
  </si>
  <si>
    <t>C/ép</t>
  </si>
  <si>
    <t>Hủy/ép</t>
  </si>
  <si>
    <t>phút/ngày</t>
  </si>
  <si>
    <t>KẾ HOẠCH 50*50</t>
  </si>
  <si>
    <t>%</t>
  </si>
  <si>
    <t>THỰC HIỆN 50*50</t>
  </si>
  <si>
    <t>So sánh TH/KH 50*50</t>
  </si>
  <si>
    <t>2.        Kết quả thực hiện các thương hiệu trong tháng 3/2026</t>
  </si>
  <si>
    <t>1.      Kết quả thực hiện các thương hiệu :</t>
  </si>
  <si>
    <r>
      <t xml:space="preserve">➢       </t>
    </r>
    <r>
      <rPr>
        <b/>
        <sz val="11"/>
        <color theme="1"/>
        <rFont val="Times New Roman"/>
        <family val="1"/>
      </rPr>
      <t>SX 50x50 men sân vườn sugar</t>
    </r>
  </si>
  <si>
    <t>Kh/TH</t>
  </si>
  <si>
    <t>Thực Hiện</t>
  </si>
  <si>
    <t>Tỷ lệ %</t>
  </si>
  <si>
    <t>Ghi chú</t>
  </si>
  <si>
    <t>Tổng  A1+A+B</t>
  </si>
  <si>
    <t>Luxury</t>
  </si>
  <si>
    <t>Green Home</t>
  </si>
  <si>
    <t>Crovina</t>
  </si>
  <si>
    <t>Havira</t>
  </si>
  <si>
    <t>Xanh Tím</t>
  </si>
  <si>
    <t>Top One</t>
  </si>
  <si>
    <t>Tổng</t>
  </si>
  <si>
    <t>II.       Tiêu hao vật tư tháng 03/2026</t>
  </si>
  <si>
    <t>1.             Tiêu hao vật tư :</t>
  </si>
  <si>
    <r>
      <t xml:space="preserve">➢       </t>
    </r>
    <r>
      <rPr>
        <b/>
        <sz val="11"/>
        <color theme="1"/>
        <rFont val="Times New Roman"/>
        <family val="1"/>
      </rPr>
      <t xml:space="preserve">Sản xuất 40x80 </t>
    </r>
  </si>
  <si>
    <t>STT</t>
  </si>
  <si>
    <t>Nguyên liệu, vật tư</t>
  </si>
  <si>
    <t>Định mức</t>
  </si>
  <si>
    <t>Thực tế</t>
  </si>
  <si>
    <t>Lượng SD</t>
  </si>
  <si>
    <t xml:space="preserve"> -Giảm ĐM</t>
  </si>
  <si>
    <t>+ Vượt ĐM</t>
  </si>
  <si>
    <t>SL</t>
  </si>
  <si>
    <t>Nguyên liệu xương</t>
  </si>
  <si>
    <t>kg</t>
  </si>
  <si>
    <t>Bột phế và gạch phế 158,585.07kg</t>
  </si>
  <si>
    <t>Panson</t>
  </si>
  <si>
    <t>Men EWP</t>
  </si>
  <si>
    <t>Men GWP</t>
  </si>
  <si>
    <t>Bao bì (5V)</t>
  </si>
  <si>
    <t>cái</t>
  </si>
  <si>
    <t>Ke góc (5V)</t>
  </si>
  <si>
    <t>Dây đai hộp</t>
  </si>
  <si>
    <t>Vỏ điều</t>
  </si>
  <si>
    <t>Tiêu hao SP: 80KG ĐIỀU/TẤN BỘT</t>
  </si>
  <si>
    <t>Dây đai pet</t>
  </si>
  <si>
    <t>Nan nẹp</t>
  </si>
  <si>
    <t>Pallet</t>
  </si>
  <si>
    <t>TB 62.07 m2/palett</t>
  </si>
  <si>
    <t>Bi trung nhôm</t>
  </si>
  <si>
    <t>Bi cao nhôm</t>
  </si>
  <si>
    <r>
      <t xml:space="preserve">➢       </t>
    </r>
    <r>
      <rPr>
        <b/>
        <sz val="11"/>
        <color theme="1"/>
        <rFont val="Times New Roman"/>
        <family val="1"/>
      </rPr>
      <t xml:space="preserve">Sản xuất 50x50 </t>
    </r>
  </si>
  <si>
    <t>Nguyên liệu xương PCL</t>
  </si>
  <si>
    <t>Bột phế và gạch phế 394.753kg</t>
  </si>
  <si>
    <t>Sugar</t>
  </si>
  <si>
    <t>Men EFSV</t>
  </si>
  <si>
    <t>Bóng</t>
  </si>
  <si>
    <t>Men EFB</t>
  </si>
  <si>
    <t>Men GFM</t>
  </si>
  <si>
    <t>Men GFB</t>
  </si>
  <si>
    <t>Men SFSV</t>
  </si>
  <si>
    <t>Bao bì</t>
  </si>
  <si>
    <t>Ke góc</t>
  </si>
  <si>
    <t>Vỏ điều ủ lò: 18.745kg</t>
  </si>
  <si>
    <r>
      <t>TB 65.48 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/palett</t>
    </r>
  </si>
  <si>
    <t>Bi cao nhôm ( MB)</t>
  </si>
  <si>
    <t>Bi cao nhôm ( Sugar )</t>
  </si>
  <si>
    <t xml:space="preserve">2. Than cục từ ngày 01/03/2026 đến ngày 31/03/2026 </t>
  </si>
  <si>
    <t>III.        Cộng tác Nhân sự</t>
  </si>
  <si>
    <t>TỔNG HỢP NHÂN LỰC</t>
  </si>
  <si>
    <t>Định biên</t>
  </si>
  <si>
    <t>Số người</t>
  </si>
  <si>
    <t>Tuyển dụng</t>
  </si>
  <si>
    <t>Nghỉ việc</t>
  </si>
  <si>
    <t>Chuyển vị trí</t>
  </si>
  <si>
    <t>Tổng số</t>
  </si>
  <si>
    <t>Đốc công</t>
  </si>
  <si>
    <t>Đốc ca</t>
  </si>
  <si>
    <t>Bộ phận ETM</t>
  </si>
  <si>
    <t>Bộ phận lò nung</t>
  </si>
  <si>
    <t>Bộ phận PL ĐG</t>
  </si>
  <si>
    <t>Xe nâng</t>
  </si>
  <si>
    <t>VSCN</t>
  </si>
  <si>
    <t>TỔNG CỘNG</t>
  </si>
  <si>
    <t>IV. Khiếu nại trong tháng 03/2026</t>
  </si>
  <si>
    <t>Tên Đại Lý</t>
  </si>
  <si>
    <t>Mã SP</t>
  </si>
  <si>
    <t>Ngày SX</t>
  </si>
  <si>
    <t>Số lượng xử lý (m2)</t>
  </si>
  <si>
    <t>Lỗi khiếu nại</t>
  </si>
  <si>
    <t>Đánh giá lỗi sản phẩm</t>
  </si>
  <si>
    <t>Văn Minh</t>
  </si>
  <si>
    <t>VMT4801-N</t>
  </si>
  <si>
    <t>19/12/2025</t>
  </si>
  <si>
    <t>Gạch bị bong tróc mặt men</t>
  </si>
  <si>
    <t>Trang Hoàng Phương</t>
  </si>
  <si>
    <t>MHP4810-N</t>
  </si>
  <si>
    <t>Gạch ốp không đều</t>
  </si>
  <si>
    <t>Tân Quỳnh Anh</t>
  </si>
  <si>
    <t>TQA4800-N</t>
  </si>
  <si>
    <t>T9/2025</t>
  </si>
  <si>
    <t>Gạch bị nhô giữa</t>
  </si>
  <si>
    <t>TQA4800V-N</t>
  </si>
  <si>
    <t>Triều Thuận Nguyên</t>
  </si>
  <si>
    <t>TN4900-N</t>
  </si>
  <si>
    <t>Gạch bị vênh góc nhẹ</t>
  </si>
  <si>
    <t>TN4908-N</t>
  </si>
  <si>
    <t>T10/2025</t>
  </si>
  <si>
    <t>Gạch bị lệch màu</t>
  </si>
  <si>
    <t>Thành Tín</t>
  </si>
  <si>
    <t>TTG480-N</t>
  </si>
  <si>
    <t>Gạch bị xước cạnh 4 góc</t>
  </si>
  <si>
    <t>Tổng lượng xử lý trong tháng 03 DC2</t>
  </si>
  <si>
    <t> V.  Kế hoạch thực hiện Sản lượng + chất lượng trong tháng 04/2026:</t>
  </si>
  <si>
    <t>1. Kế hoạch tháng 04/2026</t>
  </si>
  <si>
    <t>-         Dây chuyền 2: Dự kiến 14 ngày sản xuất gạch 500x500, 15 ngày sản xuất gạch 400x800, 01 ngày chuyển đổi.</t>
  </si>
  <si>
    <t>Sản lượng
 ép</t>
  </si>
  <si>
    <t>Tổng 
(A1+A+B)</t>
  </si>
  <si>
    <t xml:space="preserve"> Ngày 
sản xuất</t>
  </si>
  <si>
    <t>TB/ ngày</t>
  </si>
  <si>
    <t>TG Dừng 2ME</t>
  </si>
  <si>
    <t>KH</t>
  </si>
  <si>
    <t>M2</t>
  </si>
  <si>
    <t>50*50</t>
  </si>
  <si>
    <t>40*80</t>
  </si>
  <si>
    <t>TỔNG HỢP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</si>
  <si>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tháng 04/2026</t>
    </r>
  </si>
  <si>
    <t>Ngày
 sản xuất</t>
  </si>
  <si>
    <t>ok</t>
  </si>
  <si>
    <t>MỤC TIÊU</t>
  </si>
  <si>
    <t>VI.        Đánh giá KQSX tháng 03/2026:</t>
  </si>
  <si>
    <t>- Tháng 03/2026 chạy kích thước gạch 500x500 sản lượng, chất lượng đạt.</t>
  </si>
  <si>
    <t xml:space="preserve">1. Các lỗi sản phẩm </t>
  </si>
  <si>
    <t>-Các lỗi khác trong tháng đã kiểm soát tốt.</t>
  </si>
  <si>
    <t>2. Nhân sự</t>
  </si>
  <si>
    <t>- Đủ đáp ứng cho sản xuất và sắp xếp lịch nghỉ bù cho nhân viên.</t>
  </si>
  <si>
    <t xml:space="preserve">                   Trân trọng báo cáo!</t>
  </si>
  <si>
    <t>Đồng Nai, ngày 05 tháng 04 năm 2026</t>
  </si>
  <si>
    <t>PTGĐ PT</t>
  </si>
  <si>
    <t>QUẢN ĐỐC PXSX</t>
  </si>
  <si>
    <t>Nơi nhận:</t>
  </si>
  <si>
    <r>
      <t xml:space="preserve">-  </t>
    </r>
    <r>
      <rPr>
        <i/>
        <sz val="11"/>
        <color theme="1"/>
        <rFont val="Times New Roman"/>
        <family val="1"/>
      </rPr>
      <t>Tổng Giám đốc Cty.</t>
    </r>
  </si>
  <si>
    <r>
      <t xml:space="preserve">-  </t>
    </r>
    <r>
      <rPr>
        <i/>
        <sz val="11"/>
        <color theme="1"/>
        <rFont val="Times New Roman"/>
        <family val="1"/>
      </rPr>
      <t>Phó TGĐ.KD, PTGĐ.TCHC</t>
    </r>
  </si>
  <si>
    <t>*- Phó TGĐ.TB, PTGĐ.PT</t>
  </si>
  <si>
    <t>Nguyễn Danh Định</t>
  </si>
  <si>
    <t>BÁO CÁO KẾT QUẢ SẢN XUẤT DÂY CHUYỀN SỐ 2 THÁNG 4 NĂM 2026</t>
  </si>
  <si>
    <t>I.     Kết quả sản xuất tháng 04 năm 2026:</t>
  </si>
  <si>
    <t>KẾ HOẠCH 40*80</t>
  </si>
  <si>
    <t>THỰC HIỆN 40*80</t>
  </si>
  <si>
    <t>So sánh TH/KH 40*80</t>
  </si>
  <si>
    <t>2.        Kết quả thực hiện các thương hiệu trong tháng 4/2026</t>
  </si>
  <si>
    <t>Vidona</t>
  </si>
  <si>
    <t>Karpo</t>
  </si>
  <si>
    <r>
      <t xml:space="preserve">➢       </t>
    </r>
    <r>
      <rPr>
        <b/>
        <sz val="11"/>
        <color theme="1"/>
        <rFont val="Times New Roman"/>
        <family val="1"/>
      </rPr>
      <t>SX 40*80 men Panson</t>
    </r>
  </si>
  <si>
    <t>VinaPhacon</t>
  </si>
  <si>
    <t>Green Era</t>
  </si>
  <si>
    <t>Lustile</t>
  </si>
  <si>
    <t>II.       Tiêu hao vật tư tháng 04/2026</t>
  </si>
  <si>
    <t>Bột phế và gạch phế 242,584.6kg</t>
  </si>
  <si>
    <t>OK</t>
  </si>
  <si>
    <t>Bột phế và gạch phế 226,358.44kg</t>
  </si>
  <si>
    <t xml:space="preserve">2. Than cục từ ngày 01/04/2026 đến ngày 30/04/2026 </t>
  </si>
  <si>
    <t>2.1 Kích thước 500x500</t>
  </si>
  <si>
    <t>2.2 Kích thước 400x800</t>
  </si>
  <si>
    <t>2.3 Tổng dây chuyền 2</t>
  </si>
  <si>
    <t>Văn phòng</t>
  </si>
  <si>
    <t>TTG5916SV</t>
  </si>
  <si>
    <t>Gạch bị lệch họa tiết</t>
  </si>
  <si>
    <t>Nam Hà Thành</t>
  </si>
  <si>
    <t>E420-N</t>
  </si>
  <si>
    <t>Công Minh</t>
  </si>
  <si>
    <t>LXN48000-N</t>
  </si>
  <si>
    <t>15/1/2026</t>
  </si>
  <si>
    <t>Long Thành Tân</t>
  </si>
  <si>
    <t>GHC6002-N</t>
  </si>
  <si>
    <t>28/11/2025</t>
  </si>
  <si>
    <t>Gạch bị bụi than</t>
  </si>
  <si>
    <t>GHC4800-N</t>
  </si>
  <si>
    <t>Tổng lượng xử lý trong tháng 04 DC2</t>
  </si>
  <si>
    <t> V.  Kế hoạch thực hiện Sản lượng + chất lượng trong tháng 05/2026:</t>
  </si>
  <si>
    <t>1. Kế hoạch tháng 05/2026</t>
  </si>
  <si>
    <t>-         Dây chuyền 2: Tổng 31 ngày sản xuất chạy 40*80mm( nung 2 lần từ 1/5 đến 10/5/2026, sử dụng BPL xương PN32C và BPL men EP15A và PSG16E. Sau đó chuyển sang nung công nghệ mới từ ngày 10/5 đến 31/5/2026, sử dụng BPL xương PN31B (chạy chu kỳ ép: 10.6 x 0.96 x 1400x 0.98 =13.960m2/ngày).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</si>
  <si>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tháng 05/2026</t>
    </r>
  </si>
  <si>
    <t>VI.        Đánh giá KQSX tháng 04/2026:</t>
  </si>
  <si>
    <t>- Tháng 04/2026 chạy 2 loại kích thước gạch 500x500 và 400x800. Đầu tháng chạy 500 x 500 đến 15/4 dừng chuyển đổi sang gạch 400x800. Sản lượng, chất lượng đạt.</t>
  </si>
  <si>
    <t>- Khi chuyển đổi xong bắt đầu chạy men Panson 400x800 gạch ra cong cạnh, lỗi lỗ kim hạ loại B. Các lỗi khác trong tháng đã kiểm soát tốt.</t>
  </si>
  <si>
    <t>Đồng Nai, ngày 05 tháng 05 năm 2026</t>
  </si>
  <si>
    <t>BÁO CÁO KẾT QUẢ SẢN XUẤT DÂY CHUYỀN SỐ 2 THÁNG 5 NĂM 2026</t>
  </si>
  <si>
    <t>I.     Kết quả sản xuất tháng 05 năm 2026:</t>
  </si>
  <si>
    <t>THỰC HIỆN 40*80 nung 2 lần</t>
  </si>
  <si>
    <t>THỰC HIỆN 40*80 nung 1.5 lần</t>
  </si>
  <si>
    <t>TỔNG THỰC HIỆN 40*80</t>
  </si>
  <si>
    <t>2.        Kết quả thực hiện các thương hiệu trong tháng 5/2026</t>
  </si>
  <si>
    <r>
      <t xml:space="preserve">➢       </t>
    </r>
    <r>
      <rPr>
        <b/>
        <sz val="11"/>
        <color theme="1"/>
        <rFont val="Times New Roman"/>
        <family val="1"/>
      </rPr>
      <t>SX 40x80 men Panson (Nung 2 lần):</t>
    </r>
  </si>
  <si>
    <t>Vina Phacon</t>
  </si>
  <si>
    <r>
      <t xml:space="preserve">➢       </t>
    </r>
    <r>
      <rPr>
        <b/>
        <sz val="11"/>
        <color theme="1"/>
        <rFont val="Times New Roman"/>
        <family val="1"/>
      </rPr>
      <t>SX 40*80 men Panson (nung 1.5 lần)</t>
    </r>
  </si>
  <si>
    <t>Espana</t>
  </si>
  <si>
    <t>II.       Tiêu hao vật tư tháng 05/2026</t>
  </si>
  <si>
    <r>
      <t xml:space="preserve">➢       </t>
    </r>
    <r>
      <rPr>
        <b/>
        <sz val="11"/>
        <color theme="1"/>
        <rFont val="Times New Roman"/>
        <family val="1"/>
      </rPr>
      <t>Sản xuất 40x80 (nung 2 lần)</t>
    </r>
  </si>
  <si>
    <t xml:space="preserve">Nguyên liệu xương </t>
  </si>
  <si>
    <t>Bột phế và gạch phế 177,890.77kg</t>
  </si>
  <si>
    <t xml:space="preserve">Bi cao nhôm </t>
  </si>
  <si>
    <r>
      <t xml:space="preserve">➢       </t>
    </r>
    <r>
      <rPr>
        <b/>
        <sz val="11"/>
        <color theme="1"/>
        <rFont val="Times New Roman"/>
        <family val="1"/>
      </rPr>
      <t>Sản xuất 40x80 ( nung 1.5 lần)</t>
    </r>
  </si>
  <si>
    <t>TB: 61.96m2/pallet</t>
  </si>
  <si>
    <t>Thực tế nạp 125kg/mẻ. Định mức 75kg/mẻ</t>
  </si>
  <si>
    <t>Nghỉ thai sản</t>
  </si>
  <si>
    <t>IV. Khiếu nại trong tháng 05/2026</t>
  </si>
  <si>
    <t>Nhật Khang</t>
  </si>
  <si>
    <t>NK485-N</t>
  </si>
  <si>
    <t>14/10/2025</t>
  </si>
  <si>
    <t>Gạch bị tróc men</t>
  </si>
  <si>
    <t>NK482</t>
  </si>
  <si>
    <t>23/12/2025</t>
  </si>
  <si>
    <t>Gạch bị lỗi men</t>
  </si>
  <si>
    <t>Như Phát</t>
  </si>
  <si>
    <t>LXY48820-N</t>
  </si>
  <si>
    <t>Gạch bị lẫn bụi lò</t>
  </si>
  <si>
    <t>Tổng lượng xử lý trong tháng 05 DC2</t>
  </si>
  <si>
    <t> V.  Kế hoạch thực hiện Sản lượng + chất lượng trong tháng 06/2026:</t>
  </si>
  <si>
    <t>1. Kế hoạch tháng 06/2026</t>
  </si>
  <si>
    <t>-         Dây chuyền 2: Tổng 30 ngày sản xuất: chạy 40*80mm(từ 1/6 đến 16/6/2026, sử dụng BPL xương PN31B và BPL men EP17A và PSG16E. Sau đó chuyển sang nung công nghệ mới từ ngày 10/5 đến 31/5/2026, sử dụng BPL xương PN31B (chạy chu kỳ ép: 10.6 x 0.96 x 1400x 0.98 =13.960m2/ngày).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</si>
  <si>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tháng 06/2026</t>
    </r>
  </si>
  <si>
    <t>VI.        Đánh giá KQSX tháng 05/2026:</t>
  </si>
  <si>
    <t>- Tháng 05/2026 chạy kích thước gạch 400x800 sản lượng, chất lượng đạt.</t>
  </si>
  <si>
    <t>- Khi chạy men Panson 400x800 gạch ra cong cạnh, các lỗi khác trong tháng đã kiểm soát tốt.</t>
  </si>
  <si>
    <t>Đồng Nai, ngày 03 tháng 06 năm 2026</t>
  </si>
  <si>
    <t>BÁO CÁO KẾT QUẢ SẢN XUẤT DÂY CHUYỀN SỐ 2 THÁNG 01 NĂM 2026</t>
  </si>
  <si>
    <t>I.     Kết quả sản xuất tháng 01 năm 2026:</t>
  </si>
  <si>
    <t>TỔNG KẾ HOẠCH</t>
  </si>
  <si>
    <t>TỔNG THỰC HIỆN</t>
  </si>
  <si>
    <t>2.        Kết quả thực hiện các thương hiệu trong tháng 01/2026</t>
  </si>
  <si>
    <r>
      <t xml:space="preserve">➢       </t>
    </r>
    <r>
      <rPr>
        <b/>
        <sz val="12"/>
        <color theme="1"/>
        <rFont val="Times New Roman"/>
        <family val="1"/>
      </rPr>
      <t>SX 60x60 men matt</t>
    </r>
  </si>
  <si>
    <t>Crown</t>
  </si>
  <si>
    <r>
      <t xml:space="preserve">➢       </t>
    </r>
    <r>
      <rPr>
        <b/>
        <sz val="12"/>
        <color theme="1"/>
        <rFont val="Times New Roman"/>
        <family val="1"/>
      </rPr>
      <t>SX 40x80 men panson</t>
    </r>
  </si>
  <si>
    <t>II.       Tiêu hao vật tư tháng 01/2026</t>
  </si>
  <si>
    <r>
      <t xml:space="preserve">➢       </t>
    </r>
    <r>
      <rPr>
        <b/>
        <sz val="12"/>
        <color theme="1"/>
        <rFont val="Times New Roman"/>
        <family val="1"/>
      </rPr>
      <t xml:space="preserve">Sản xuất 50x50 </t>
    </r>
  </si>
  <si>
    <t>Bột phế và gạch phế 276,929.78kg</t>
  </si>
  <si>
    <t>Trừ bã men 4,843.64kg</t>
  </si>
  <si>
    <t>Trừ bã men 1,341.49kg</t>
  </si>
  <si>
    <t>Tiêu hao SP:  78 Kg điều/tấn bột</t>
  </si>
  <si>
    <r>
      <t>TB 92.56 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/palett</t>
    </r>
  </si>
  <si>
    <r>
      <t xml:space="preserve">➢       </t>
    </r>
    <r>
      <rPr>
        <b/>
        <sz val="12"/>
        <color theme="1"/>
        <rFont val="Times New Roman"/>
        <family val="1"/>
      </rPr>
      <t xml:space="preserve">Sản xuất 60x60 </t>
    </r>
  </si>
  <si>
    <t>Bột phế và gạch phế 106,240.34kg</t>
  </si>
  <si>
    <t>Matt</t>
  </si>
  <si>
    <t>Men EFM</t>
  </si>
  <si>
    <t>GFM</t>
  </si>
  <si>
    <t>Bao bì 5V</t>
  </si>
  <si>
    <t xml:space="preserve">Ke góc </t>
  </si>
  <si>
    <t>Tiêu hao SP:  77 Kg điều/tấn bột</t>
  </si>
  <si>
    <r>
      <t>TB 65.48 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/palett</t>
    </r>
  </si>
  <si>
    <r>
      <t xml:space="preserve">➢       </t>
    </r>
    <r>
      <rPr>
        <b/>
        <sz val="12"/>
        <color theme="1"/>
        <rFont val="Times New Roman"/>
        <family val="1"/>
      </rPr>
      <t xml:space="preserve">Sản xuất 40x80 </t>
    </r>
  </si>
  <si>
    <t>Bột phế và gạch phế 147,535.99kg</t>
  </si>
  <si>
    <t>Dây dày hơn tiêu chuẩn</t>
  </si>
  <si>
    <t>Tiêu hao SP:  76 Kg điều/tấn bột</t>
  </si>
  <si>
    <r>
      <t>TB 62.97 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/palett</t>
    </r>
  </si>
  <si>
    <t xml:space="preserve">2. Than cục từ ngày 01/01/26 đến ngày 15/01/2026 </t>
  </si>
  <si>
    <t>IV. Khiếu nại trong tháng 01/2026</t>
  </si>
  <si>
    <t>DC2</t>
  </si>
  <si>
    <t>Gạch bị cong vênh</t>
  </si>
  <si>
    <t>Gạch bị mo bụng</t>
  </si>
  <si>
    <t>Gạch bị lệch chỉ</t>
  </si>
  <si>
    <t xml:space="preserve">Gạch bị vênh góc </t>
  </si>
  <si>
    <t>Gạch bị vênh góc</t>
  </si>
  <si>
    <t>Gạch bị mo nhẹ</t>
  </si>
  <si>
    <t>Tổng lượng xử lý trong tháng 01 DC2</t>
  </si>
  <si>
    <t> V.       Kế hoạch thực hiện Sản lượng + chất lượng trong tháng 02/2026:</t>
  </si>
  <si>
    <t>1. Kế hoạch tháng 02/2026</t>
  </si>
  <si>
    <t>-         Dây chuyền 2: Nghỉ tết - Bảo dưỡng dây chuyền máy móc thiết bị .</t>
  </si>
  <si>
    <r>
      <rPr>
        <b/>
        <sz val="12"/>
        <color theme="1"/>
        <rFont val="Times New Roman"/>
        <family val="1"/>
      </rPr>
      <t>2.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Mục tiêu tháng 01/2026</t>
    </r>
  </si>
  <si>
    <t>VI.        Đánh giá KQSX tháng 01/2026:</t>
  </si>
  <si>
    <t>- Tháng 01/2026 chạy 1 loại kích thước gạch 400x800. Sản lượng trung bình ngày chưa đạt, chất lượng đạt.</t>
  </si>
  <si>
    <t>- Đủ đáp ứng cho sản xuất và sắp xếp lịch nghỉ bù cho nhân viên. Cần bổ sung thêm nhân lực cho sản xuất sau tết hoạt động trở lại.</t>
  </si>
  <si>
    <t>Đồng Nai, ngày 26 tháng 01 năm 2026</t>
  </si>
  <si>
    <r>
      <t>-</t>
    </r>
    <r>
      <rPr>
        <sz val="7"/>
        <color theme="1"/>
        <rFont val="Times New Roman"/>
        <family val="1"/>
      </rPr>
      <t xml:space="preserve">  </t>
    </r>
    <r>
      <rPr>
        <i/>
        <sz val="10"/>
        <color theme="1"/>
        <rFont val="Times New Roman"/>
        <family val="1"/>
      </rPr>
      <t>Tổng Giám đốc Cty.</t>
    </r>
  </si>
  <si>
    <r>
      <t>-</t>
    </r>
    <r>
      <rPr>
        <sz val="7"/>
        <color theme="1"/>
        <rFont val="Times New Roman"/>
        <family val="1"/>
      </rPr>
      <t xml:space="preserve">  </t>
    </r>
    <r>
      <rPr>
        <i/>
        <sz val="10"/>
        <color theme="1"/>
        <rFont val="Times New Roman"/>
        <family val="1"/>
      </rPr>
      <t>Phó TGĐ.KD, PTGĐ.TCHC</t>
    </r>
  </si>
  <si>
    <t xml:space="preserve"> THỰC HIỆN 50*50</t>
  </si>
  <si>
    <t>BÁO CÁO KẾT QUẢ SẢN XUẤT DÂY CHUYỀN SỐ 2 6 THÁNG ĐẦU NĂM 2026</t>
  </si>
  <si>
    <t>I.     Kết quả sản xuất 6 tháng đầu năm 2026:</t>
  </si>
  <si>
    <t>BÁO CÁO KẾT QUẢ SẢN XUẤT DÂY CHUYỀN SỐ 2 THÁNG 6 NĂM 2026</t>
  </si>
  <si>
    <t>I.     Kết quả sản xuất tháng 06 năm 2026:</t>
  </si>
  <si>
    <t xml:space="preserve">THỰC HIỆN 40*80 </t>
  </si>
  <si>
    <t>2.        Kết quả thực hiện các thương hiệu trong tháng 6/2026</t>
  </si>
  <si>
    <r>
      <t xml:space="preserve">➢       </t>
    </r>
    <r>
      <rPr>
        <b/>
        <sz val="11"/>
        <color theme="1"/>
        <rFont val="Times New Roman"/>
        <family val="1"/>
      </rPr>
      <t>SX 40x80 men Panson :</t>
    </r>
  </si>
  <si>
    <t>Padova</t>
  </si>
  <si>
    <r>
      <t xml:space="preserve">➢       </t>
    </r>
    <r>
      <rPr>
        <b/>
        <sz val="11"/>
        <color theme="1"/>
        <rFont val="Times New Roman"/>
        <family val="1"/>
      </rPr>
      <t>SX 40x80 men Matt :</t>
    </r>
  </si>
  <si>
    <r>
      <t xml:space="preserve">➢       </t>
    </r>
    <r>
      <rPr>
        <b/>
        <sz val="11"/>
        <color theme="1"/>
        <rFont val="Times New Roman"/>
        <family val="1"/>
      </rPr>
      <t>SX 50*50 men Matt + Sugar</t>
    </r>
  </si>
  <si>
    <t>II.       Tiêu hao vật tư tháng 06/2026</t>
  </si>
  <si>
    <r>
      <t xml:space="preserve">➢       </t>
    </r>
    <r>
      <rPr>
        <b/>
        <sz val="11"/>
        <color theme="1"/>
        <rFont val="Times New Roman"/>
        <family val="1"/>
      </rPr>
      <t>Sản xuất 50x50</t>
    </r>
  </si>
  <si>
    <t>Bột phế và gạch phế 7032.1kg</t>
  </si>
  <si>
    <t>TB:87.25m2/pallet</t>
  </si>
  <si>
    <t>* Ghi chú: Ngày 30/6/2026 chuyển đổi sang gạch lát kích thước 50x50,tiêu hao cao hơn định mức, phải vào đầy lò sấy 5 tầng và đầy lò men, tiêu hao tính vào tháng 6/2026</t>
  </si>
  <si>
    <r>
      <t xml:space="preserve">➢       </t>
    </r>
    <r>
      <rPr>
        <b/>
        <sz val="11"/>
        <color theme="1"/>
        <rFont val="Times New Roman"/>
        <family val="1"/>
      </rPr>
      <t>Sản xuất 40x80</t>
    </r>
  </si>
  <si>
    <t>Bột phế và gạch phế 271,440.7kg</t>
  </si>
  <si>
    <t>Men E MATT</t>
  </si>
  <si>
    <t>Men G Matt</t>
  </si>
  <si>
    <t>TB:60.98m2/pallet</t>
  </si>
  <si>
    <t>IV. Khiếu nại trong tháng 06/2026</t>
  </si>
  <si>
    <t>NK482-N</t>
  </si>
  <si>
    <t>Gạch bị bụi đen</t>
  </si>
  <si>
    <t>Tổng lượng xử lý trong tháng 06 DC2</t>
  </si>
  <si>
    <t> V.  Kế hoạch thực hiện Sản lượng + chất lượng trong tháng 07/2026:</t>
  </si>
  <si>
    <t>1. Kế hoạch tháng 07/2026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</si>
  <si>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tháng 07/2026</t>
    </r>
  </si>
  <si>
    <t>VI.        Đánh giá KQSX tháng 06/2026:</t>
  </si>
  <si>
    <t>- Trong tháng 06/2025 đã chuyển đổi đúng theo kế hoạch đã dự kiến</t>
  </si>
  <si>
    <t>- Ngày 30/6 chuyển đổi sang 500x500 thời điểm mới chuyển đổi căn chỉnh lại dây chuyền, tăng công suất dẫn đến chất lượng, thu hồi thấp, tiêu hao cao.</t>
  </si>
  <si>
    <t>- Tháng 06/2026 chạy kích thước gạch 400x800 đến 30/6/2026 dừng chuyển đổi sang chạy kích thước gạch 500x500.</t>
  </si>
  <si>
    <t>Đồng Nai, ngày 04 tháng 07 năm 2026</t>
  </si>
  <si>
    <t>2.        Kết quả thực hiện các thương hiệu trong 6 tháng đầu năm2026</t>
  </si>
  <si>
    <r>
      <t xml:space="preserve">➢       </t>
    </r>
    <r>
      <rPr>
        <b/>
        <sz val="11"/>
        <color theme="1"/>
        <rFont val="Times New Roman"/>
        <family val="1"/>
      </rPr>
      <t>SX 40*80 men Matt</t>
    </r>
  </si>
  <si>
    <r>
      <t xml:space="preserve">➢       </t>
    </r>
    <r>
      <rPr>
        <b/>
        <sz val="11"/>
        <color theme="1"/>
        <rFont val="Times New Roman"/>
        <family val="1"/>
      </rPr>
      <t>SX 40x80 men Panson nung 1.5 lần:</t>
    </r>
  </si>
  <si>
    <t>2l 4080</t>
  </si>
  <si>
    <t>II.       Tiêu hao vật tư 6 tháng đầu năm 2026</t>
  </si>
  <si>
    <t>matt</t>
  </si>
  <si>
    <t>Bột phế và gạch phế 551,785.2kg</t>
  </si>
  <si>
    <t>+</t>
  </si>
  <si>
    <t>Bột phế và gạch phế 497,799.14kg</t>
  </si>
  <si>
    <t>Bột phế và gạch phế 644,369.7kg</t>
  </si>
  <si>
    <t xml:space="preserve">Nguyên liệu xương 1.5 lần </t>
  </si>
  <si>
    <t>pason 1.5</t>
  </si>
  <si>
    <t>panson 2</t>
  </si>
  <si>
    <t>Nguyên liệu xương 2 lần</t>
  </si>
  <si>
    <t>Men EWP (EP15A)</t>
  </si>
  <si>
    <t>Men GWP (PSG16E)</t>
  </si>
  <si>
    <t>Men EWP (EP17B)</t>
  </si>
  <si>
    <t>Men GWP (PSG17A)</t>
  </si>
  <si>
    <t>III. Khiếu nại trong 6 tháng đầu năm 2026</t>
  </si>
  <si>
    <t>Sản phẩm xử lý DC2</t>
  </si>
  <si>
    <t>Tổng lượng xử lý trong tháng 01</t>
  </si>
  <si>
    <t>Tổng lượng xử lý trong tháng 03</t>
  </si>
  <si>
    <t>Tổng lượng xử lý trong tháng 04</t>
  </si>
  <si>
    <t>Tổng lượng xử lý trong tháng 05</t>
  </si>
  <si>
    <t>Tổng lượng xử lý trong tháng 06</t>
  </si>
  <si>
    <t>Tổng lượng xử lý DC2</t>
  </si>
  <si>
    <t>Số vụ xử lý</t>
  </si>
  <si>
    <t>Trong đó 4 vụ lệch màu, 1 vụ lệch họa tiết, 1 vụ nhòe họa tiết, 1 vụ xước men, 2 vụ cong vênh, 5 vụ lệch chỉ</t>
  </si>
  <si>
    <t>Trong đó 1 vụ bong tróc mặt men, 1 vụ ốp không đều, 1 vụ gạch bị nhô giữa, 1 vụ vênh góc, 1 vụ lệch màu, 1 vụ xước cạnh</t>
  </si>
  <si>
    <t>Trong đó 1 vụ lệch họa tiết, 2 vụ vênh góc, 2 vụ bụi than</t>
  </si>
  <si>
    <t>Trong đó 1 vụ tróc men, 1 vụ lỗi men, 1 vụ bụi lò</t>
  </si>
  <si>
    <t>Trong đó 1 vụ tróc men, 1 vụ bụi lò</t>
  </si>
  <si>
    <t>Tổng lượng sản xuất trong 6 tháng đầu năm 2026 DC2</t>
  </si>
  <si>
    <t>Tổng sản lượng xử lý tương đương 0.32% sản lượng sản xuất.</t>
  </si>
  <si>
    <t> V.  Kế hoạch thực hiện Sản lượng + chất lượng trong 6 tháng cuối năm 2026</t>
  </si>
  <si>
    <t>1. Kế hoạch 6 tháng cuối năm 2026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</si>
  <si>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6 tháng cuối năm 2026</t>
    </r>
  </si>
  <si>
    <t>Đồng Nai, ngày 07 tháng 07 năm 2026</t>
  </si>
  <si>
    <t>VI.        Đánh giá KQSX 6 tháng đầu năm 2026:</t>
  </si>
  <si>
    <t>- Chất lượng, sản lượng dc2 trong 6 tháng đầu năm 2026 đạt mục tiêu đề ra.</t>
  </si>
  <si>
    <t>- Nhân sự trong 6 tháng đầu năm 2026 ổn định.</t>
  </si>
  <si>
    <t>-Khi chuyển chạy các dòng sản phẩm trên DC2 cong cạnh và các lỗi sản phẩm kiểm soát tốt.</t>
  </si>
  <si>
    <t>BÁO CÁO KẾT QUẢ SẢN XUẤT DÂY CHUYỀN SỐ 2 THÁNG 7 NĂM 2026</t>
  </si>
  <si>
    <t>I.     Kết quả sản xuất tháng 07 năm 2026:</t>
  </si>
  <si>
    <t>2.        Kết quả thực hiện các thương hiệu trong tháng 7/2026</t>
  </si>
  <si>
    <t>II.       Tiêu hao vật tư tháng 07/2026</t>
  </si>
  <si>
    <t>Thai sản</t>
  </si>
  <si>
    <t>IV. Khiếu nại trong tháng 07/2026</t>
  </si>
  <si>
    <t>Tổng lượng xử lý trong tháng 07 DC2</t>
  </si>
  <si>
    <t>GreenHome</t>
  </si>
  <si>
    <t>Xanh tím</t>
  </si>
  <si>
    <t>Bột phế và gạch phế 287,261.98kg</t>
  </si>
  <si>
    <t>Men GFB TN</t>
  </si>
  <si>
    <r>
      <t>TB 91.71 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/palett</t>
    </r>
  </si>
  <si>
    <t>1. Kế hoạch tháng 08/2026</t>
  </si>
  <si>
    <t> V.  Kế hoạch thực hiện Sản lượng + chất lượng trong tháng 08/2026:</t>
  </si>
  <si>
    <t>50*50 Men Matt Sugar</t>
  </si>
  <si>
    <t>50*50 Men Bóng</t>
  </si>
  <si>
    <t>TQA5566</t>
  </si>
  <si>
    <t>T4/2026</t>
  </si>
  <si>
    <t>E410-N</t>
  </si>
  <si>
    <t>20/6/2026</t>
  </si>
  <si>
    <r>
      <t xml:space="preserve">➢       </t>
    </r>
    <r>
      <rPr>
        <b/>
        <sz val="11"/>
        <color theme="1"/>
        <rFont val="Times New Roman"/>
        <family val="1"/>
      </rPr>
      <t>SX 50x50 men Bóng</t>
    </r>
  </si>
  <si>
    <t>bóng</t>
  </si>
  <si>
    <t>VI.        Đánh giá KQSX tháng 07/2026:</t>
  </si>
  <si>
    <t>- Tháng 07/2026 chạy kích thước gạch 500x500 sản lượng, chất lượng đạt.</t>
  </si>
  <si>
    <t>- Khi chạy men Matt Sugar kích thước gạch 500*500 gạch ra cong cạnh, lỗi lỗ kim hạ loại B. Các lỗi khác trong tháng đã kiểm soát tốt.</t>
  </si>
  <si>
    <t>Đồng Nai, ngày 03 tháng 08 năm 2026</t>
  </si>
  <si>
    <t>LXY48810-N</t>
  </si>
  <si>
    <t>26/5/2026</t>
  </si>
  <si>
    <t>Gạch bị vễnh nhẹ</t>
  </si>
  <si>
    <t>TTG483-N</t>
  </si>
  <si>
    <t>Gạch bị nứt cạnh</t>
  </si>
  <si>
    <t>CVDN4800-N</t>
  </si>
  <si>
    <t>30/5/2026</t>
  </si>
  <si>
    <t>CVDN4800V-N</t>
  </si>
  <si>
    <t>Khánh Linh</t>
  </si>
  <si>
    <t>CERAVI MN</t>
  </si>
  <si>
    <t>CRV4800-N</t>
  </si>
  <si>
    <t>22/4/2026</t>
  </si>
  <si>
    <t>Gạch bị mo</t>
  </si>
  <si>
    <t>16/4/2026</t>
  </si>
  <si>
    <t>VMT4801V1-N</t>
  </si>
  <si>
    <t>Gạch bị vễnh góc</t>
  </si>
  <si>
    <t>GHC4801-N</t>
  </si>
  <si>
    <t>Gạch bị lỗi mặt men</t>
  </si>
  <si>
    <t>20/9/2025</t>
  </si>
  <si>
    <t>Gạch bị nút men</t>
  </si>
  <si>
    <t>BÁO CÁO KẾT QUẢ SẢN XUẤT DÂY CHUYỀN SỐ 2 THÁNG 8 NĂM 2026</t>
  </si>
  <si>
    <t>I.     Kết quả sản xuất tháng 08 năm 2026:</t>
  </si>
  <si>
    <t>KẾ HOẠCH 50*50 MEN MATT SUGAR</t>
  </si>
  <si>
    <t>THỰC HIỆN 50*50 MEN MATT SUGAR</t>
  </si>
  <si>
    <t>KẾ HOẠCH 50*50 MEN BÓNG</t>
  </si>
  <si>
    <t>So sánh TH/KH 50*50 MATT SUGAR</t>
  </si>
  <si>
    <t>So sánh TH/KH 50*50 BÓNG</t>
  </si>
  <si>
    <t>THỰC HIỆN 50*50 MEN BÓNG</t>
  </si>
  <si>
    <t>2.        Kết quả thực hiện các thương hiệu trong tháng 8/2026</t>
  </si>
  <si>
    <r>
      <t>➢    </t>
    </r>
    <r>
      <rPr>
        <b/>
        <sz val="11"/>
        <color theme="1"/>
        <rFont val="Times New Roman"/>
        <family val="1"/>
      </rPr>
      <t>SX 500x500 men Matt Sugar :</t>
    </r>
  </si>
  <si>
    <r>
      <t>➢    </t>
    </r>
    <r>
      <rPr>
        <b/>
        <sz val="11"/>
        <color theme="1"/>
        <rFont val="Times New Roman"/>
        <family val="1"/>
      </rPr>
      <t>SX 500x500 men Bóng :</t>
    </r>
  </si>
  <si>
    <r>
      <t xml:space="preserve">➢       </t>
    </r>
    <r>
      <rPr>
        <b/>
        <sz val="11"/>
        <color theme="1"/>
        <rFont val="Times New Roman"/>
        <family val="1"/>
      </rPr>
      <t>SX 400x800 men Panson:</t>
    </r>
  </si>
  <si>
    <t>II.       Tiêu hao vật tư tháng 08/2026</t>
  </si>
  <si>
    <t>IV. Khiếu nại trong tháng 08/2026</t>
  </si>
  <si>
    <t>Tổng lượng xử lý trong tháng 08 DC2</t>
  </si>
  <si>
    <t> V.  Kế hoạch thực hiện Sản lượng + chất lượng trong tháng 09/2026:</t>
  </si>
  <si>
    <t>1. Kế hoạch tháng 09/2026</t>
  </si>
  <si>
    <r>
      <rPr>
        <b/>
        <sz val="11"/>
        <color theme="1"/>
        <rFont val="Times New Roman"/>
        <family val="1"/>
      </rPr>
      <t>2.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Mục tiêu tháng 09/2026</t>
    </r>
  </si>
  <si>
    <t>Esspana</t>
  </si>
  <si>
    <t>TB:91.71m2/pallet</t>
  </si>
  <si>
    <t>Granova</t>
  </si>
  <si>
    <t>M48007-N</t>
  </si>
  <si>
    <t>Gạch bị vễnh góc nhẹ</t>
  </si>
  <si>
    <t>Đại Phúc Home</t>
  </si>
  <si>
    <t>LXN48006-N</t>
  </si>
  <si>
    <t>Ceravi Miền Nam</t>
  </si>
  <si>
    <t>CRV4822D2-N</t>
  </si>
  <si>
    <t>24/6/2026</t>
  </si>
  <si>
    <t>15/5/2026</t>
  </si>
  <si>
    <t xml:space="preserve">Gạch bị lệch vễnh góc </t>
  </si>
  <si>
    <t>16/12/2025</t>
  </si>
  <si>
    <t>Gạch kích thước không đồng đều</t>
  </si>
  <si>
    <t>13/5/2026</t>
  </si>
  <si>
    <t>MHP4810D-N</t>
  </si>
  <si>
    <t>17/9/2025</t>
  </si>
  <si>
    <t>21/4/2026</t>
  </si>
  <si>
    <t>MHP4800-N</t>
  </si>
  <si>
    <t>14/5/2026</t>
  </si>
  <si>
    <t>Kiến Hưng</t>
  </si>
  <si>
    <t>KHG4853D2-N</t>
  </si>
  <si>
    <t>KH4855-N</t>
  </si>
  <si>
    <t>VMT4801D1-N</t>
  </si>
  <si>
    <t>29/12/2025</t>
  </si>
  <si>
    <t>20/12/2025</t>
  </si>
  <si>
    <t>Gạch bị vễnh góc ngược</t>
  </si>
  <si>
    <t>TB:61.46m2/pallet</t>
  </si>
  <si>
    <t>Chuyển từ DC1</t>
  </si>
  <si>
    <t>- Trong tháng 08/2025 đã chuyển đổi đúng theo kế hoạch đã dự kiến</t>
  </si>
  <si>
    <t>VI.        Đánh giá KQSX tháng 08/2026:</t>
  </si>
  <si>
    <t>- Ngày 5/8 chuyển đổi sang Men Bóng chất lượng màu sắc đạt.</t>
  </si>
  <si>
    <t>- Ngày 13/8 chuyển đổi sang 400x800 thời điểm mới chuyển đổi căn chỉnh lại dây chuyền, tăng công suất dẫn đến chất lượng, thu hồi thấp, tiêu hao cao.</t>
  </si>
  <si>
    <t>Phế bột và bột gạch phế: 219,836.3kg</t>
  </si>
  <si>
    <t>Phế bột và bột gạch phế: 92,145.53kg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</si>
</sst>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7" formatCode="&quot;$&quot;#,##0.00_);\(&quot;$&quot;#,##0.00\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₫_-;\-* #,##0\ _₫_-;_-* &quot;-&quot;??\ _₫_-;_-@_-"/>
    <numFmt numFmtId="167" formatCode="_(* #,##0.0000_);_(* \(#,##0.0000\);_(* &quot;-&quot;??_);_(@_)"/>
    <numFmt numFmtId="168" formatCode="_(* #,##0.000_);_(* \(#,##0.000\);_(* &quot;-&quot;??_);_(@_)"/>
    <numFmt numFmtId="169" formatCode="0.0"/>
    <numFmt numFmtId="170" formatCode="_(* #,##0.00000_);_(* \(#,##0.00000\);_(* &quot;-&quot;??_);_(@_)"/>
    <numFmt numFmtId="171" formatCode="#,##0.0"/>
    <numFmt numFmtId="172" formatCode="0.0%"/>
    <numFmt numFmtId="173" formatCode="0.000"/>
    <numFmt numFmtId="174" formatCode="0.0000"/>
    <numFmt numFmtId="175" formatCode="#,##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vertAlign val="superscript"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i/>
      <sz val="12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name val="Times New Roman"/>
      <family val="1"/>
    </font>
    <font>
      <b/>
      <sz val="13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0"/>
      <name val="Times New Roman"/>
      <family val="1"/>
    </font>
    <font>
      <u/>
      <sz val="10"/>
      <color theme="1"/>
      <name val="Times New Roman"/>
      <family val="1"/>
    </font>
    <font>
      <sz val="7"/>
      <color theme="1"/>
      <name val="Times New Roman"/>
      <family val="1"/>
    </font>
    <font>
      <i/>
      <sz val="10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3"/>
      <color theme="1"/>
      <name val="Times New Roman"/>
      <family val="1"/>
    </font>
    <font>
      <sz val="10.5"/>
      <color theme="1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705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43" fontId="0" fillId="0" borderId="0" xfId="1" applyFont="1" applyAlignment="1"/>
    <xf numFmtId="43" fontId="0" fillId="0" borderId="0" xfId="1" applyFont="1"/>
    <xf numFmtId="0" fontId="0" fillId="0" borderId="0" xfId="0" applyFont="1"/>
    <xf numFmtId="0" fontId="0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2" fillId="0" borderId="0" xfId="0" applyFont="1"/>
    <xf numFmtId="43" fontId="2" fillId="0" borderId="0" xfId="1" applyFont="1"/>
    <xf numFmtId="165" fontId="8" fillId="0" borderId="1" xfId="0" applyNumberFormat="1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right" vertical="center" wrapText="1"/>
    </xf>
    <xf numFmtId="43" fontId="2" fillId="0" borderId="0" xfId="0" applyNumberFormat="1" applyFont="1"/>
    <xf numFmtId="43" fontId="10" fillId="0" borderId="1" xfId="1" applyFont="1" applyBorder="1" applyAlignment="1">
      <alignment vertical="center" wrapText="1"/>
    </xf>
    <xf numFmtId="43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 wrapText="1"/>
    </xf>
    <xf numFmtId="43" fontId="8" fillId="0" borderId="1" xfId="1" applyFont="1" applyBorder="1" applyAlignment="1">
      <alignment vertical="center"/>
    </xf>
    <xf numFmtId="0" fontId="8" fillId="0" borderId="1" xfId="0" applyFont="1" applyBorder="1" applyAlignment="1">
      <alignment horizontal="right" vertical="center" wrapText="1"/>
    </xf>
    <xf numFmtId="0" fontId="3" fillId="0" borderId="0" xfId="0" applyFont="1"/>
    <xf numFmtId="2" fontId="8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vertical="center"/>
    </xf>
    <xf numFmtId="2" fontId="10" fillId="0" borderId="1" xfId="1" applyNumberFormat="1" applyFont="1" applyBorder="1" applyAlignment="1">
      <alignment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167" fontId="8" fillId="0" borderId="0" xfId="1" applyNumberFormat="1" applyFont="1" applyBorder="1"/>
    <xf numFmtId="167" fontId="5" fillId="0" borderId="0" xfId="1" applyNumberFormat="1" applyFont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/>
    </xf>
    <xf numFmtId="43" fontId="5" fillId="0" borderId="0" xfId="1" applyFont="1" applyBorder="1" applyAlignment="1">
      <alignment horizontal="center" vertical="center" wrapText="1"/>
    </xf>
    <xf numFmtId="165" fontId="0" fillId="0" borderId="0" xfId="1" applyNumberFormat="1" applyFont="1"/>
    <xf numFmtId="165" fontId="0" fillId="0" borderId="0" xfId="0" applyNumberFormat="1"/>
    <xf numFmtId="43" fontId="13" fillId="2" borderId="1" xfId="0" applyNumberFormat="1" applyFont="1" applyFill="1" applyBorder="1" applyAlignment="1">
      <alignment vertical="center"/>
    </xf>
    <xf numFmtId="43" fontId="13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8" fillId="0" borderId="1" xfId="1" applyFont="1" applyBorder="1"/>
    <xf numFmtId="43" fontId="5" fillId="0" borderId="1" xfId="1" applyFont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 wrapText="1"/>
    </xf>
    <xf numFmtId="43" fontId="14" fillId="0" borderId="1" xfId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168" fontId="8" fillId="0" borderId="1" xfId="1" applyNumberFormat="1" applyFont="1" applyBorder="1"/>
    <xf numFmtId="168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7" fontId="0" fillId="0" borderId="1" xfId="1" applyNumberFormat="1" applyFont="1" applyBorder="1"/>
    <xf numFmtId="0" fontId="0" fillId="0" borderId="1" xfId="0" applyBorder="1"/>
    <xf numFmtId="168" fontId="0" fillId="0" borderId="1" xfId="1" applyNumberFormat="1" applyFont="1" applyBorder="1"/>
    <xf numFmtId="0" fontId="8" fillId="0" borderId="1" xfId="0" applyFont="1" applyBorder="1" applyAlignment="1">
      <alignment horizontal="center" vertical="center"/>
    </xf>
    <xf numFmtId="168" fontId="8" fillId="0" borderId="1" xfId="1" applyNumberFormat="1" applyFont="1" applyBorder="1" applyAlignment="1">
      <alignment vertical="center"/>
    </xf>
    <xf numFmtId="43" fontId="0" fillId="0" borderId="0" xfId="0" applyNumberFormat="1"/>
    <xf numFmtId="167" fontId="8" fillId="0" borderId="1" xfId="1" applyNumberFormat="1" applyFont="1" applyBorder="1"/>
    <xf numFmtId="167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Font="1" applyBorder="1"/>
    <xf numFmtId="165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43" fontId="14" fillId="0" borderId="0" xfId="1" applyFont="1" applyAlignment="1">
      <alignment vertical="center"/>
    </xf>
    <xf numFmtId="169" fontId="14" fillId="0" borderId="0" xfId="0" applyNumberFormat="1" applyFont="1" applyAlignment="1">
      <alignment vertical="center"/>
    </xf>
    <xf numFmtId="167" fontId="0" fillId="0" borderId="1" xfId="1" applyNumberFormat="1" applyFont="1" applyBorder="1" applyAlignment="1">
      <alignment vertical="center"/>
    </xf>
    <xf numFmtId="43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8" fontId="8" fillId="0" borderId="1" xfId="1" applyNumberFormat="1" applyFont="1" applyFill="1" applyBorder="1" applyAlignment="1">
      <alignment vertical="center"/>
    </xf>
    <xf numFmtId="170" fontId="0" fillId="0" borderId="0" xfId="0" applyNumberFormat="1"/>
    <xf numFmtId="164" fontId="5" fillId="0" borderId="4" xfId="1" applyNumberFormat="1" applyFont="1" applyBorder="1" applyAlignment="1">
      <alignment horizontal="center" vertical="center" wrapText="1"/>
    </xf>
    <xf numFmtId="167" fontId="0" fillId="0" borderId="0" xfId="0" applyNumberFormat="1"/>
    <xf numFmtId="0" fontId="7" fillId="0" borderId="0" xfId="2" applyFont="1" applyAlignment="1">
      <alignment horizontal="left" vertical="center"/>
    </xf>
    <xf numFmtId="167" fontId="0" fillId="0" borderId="0" xfId="0" applyNumberFormat="1" applyFont="1"/>
    <xf numFmtId="0" fontId="0" fillId="0" borderId="0" xfId="0" applyFont="1" applyAlignment="1">
      <alignment horizontal="left" vertical="center"/>
    </xf>
    <xf numFmtId="43" fontId="0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/>
    <xf numFmtId="43" fontId="5" fillId="0" borderId="1" xfId="1" applyFont="1" applyBorder="1" applyAlignment="1"/>
    <xf numFmtId="165" fontId="4" fillId="0" borderId="1" xfId="0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0" borderId="0" xfId="0" applyNumberFormat="1" applyFont="1"/>
    <xf numFmtId="165" fontId="4" fillId="0" borderId="0" xfId="1" applyNumberFormat="1" applyFont="1" applyBorder="1" applyAlignment="1">
      <alignment horizontal="right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4" fontId="5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/>
    <xf numFmtId="43" fontId="4" fillId="3" borderId="1" xfId="1" applyFont="1" applyFill="1" applyBorder="1" applyAlignment="1">
      <alignment horizontal="center" vertical="center"/>
    </xf>
    <xf numFmtId="43" fontId="0" fillId="0" borderId="0" xfId="1" applyFont="1" applyFill="1" applyAlignment="1"/>
    <xf numFmtId="43" fontId="0" fillId="0" borderId="0" xfId="1" applyFont="1" applyFill="1"/>
    <xf numFmtId="0" fontId="5" fillId="0" borderId="0" xfId="0" quotePrefix="1" applyFont="1" applyAlignment="1">
      <alignment vertical="center"/>
    </xf>
    <xf numFmtId="43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11" fillId="0" borderId="1" xfId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165" fontId="5" fillId="0" borderId="1" xfId="1" applyNumberFormat="1" applyFont="1" applyBorder="1"/>
    <xf numFmtId="43" fontId="0" fillId="0" borderId="1" xfId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43" fontId="9" fillId="0" borderId="1" xfId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 wrapText="1"/>
    </xf>
    <xf numFmtId="43" fontId="11" fillId="0" borderId="1" xfId="1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43" fontId="9" fillId="0" borderId="1" xfId="1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3" fontId="0" fillId="0" borderId="0" xfId="0" applyNumberFormat="1"/>
    <xf numFmtId="43" fontId="9" fillId="0" borderId="1" xfId="1" applyFont="1" applyBorder="1" applyAlignment="1">
      <alignment horizontal="right" vertical="center"/>
    </xf>
    <xf numFmtId="43" fontId="9" fillId="0" borderId="1" xfId="1" applyFont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172" fontId="9" fillId="0" borderId="1" xfId="0" applyNumberFormat="1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right" vertical="center"/>
    </xf>
    <xf numFmtId="0" fontId="5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7" fontId="5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0" borderId="14" xfId="0" applyFont="1" applyFill="1" applyBorder="1" applyAlignment="1">
      <alignment horizontal="center" vertical="center" wrapText="1"/>
    </xf>
    <xf numFmtId="43" fontId="8" fillId="0" borderId="1" xfId="1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164" fontId="8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vertical="center" wrapText="1"/>
    </xf>
    <xf numFmtId="165" fontId="8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vertical="center" wrapText="1"/>
    </xf>
    <xf numFmtId="0" fontId="0" fillId="4" borderId="0" xfId="0" applyFill="1"/>
    <xf numFmtId="167" fontId="8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169" fontId="5" fillId="3" borderId="1" xfId="0" applyNumberFormat="1" applyFont="1" applyFill="1" applyBorder="1" applyAlignment="1">
      <alignment horizontal="center" vertical="center"/>
    </xf>
    <xf numFmtId="169" fontId="0" fillId="0" borderId="0" xfId="0" applyNumberFormat="1"/>
    <xf numFmtId="164" fontId="4" fillId="3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165" fontId="9" fillId="3" borderId="1" xfId="1" applyNumberFormat="1" applyFont="1" applyFill="1" applyBorder="1" applyAlignment="1">
      <alignment vertical="center"/>
    </xf>
    <xf numFmtId="43" fontId="12" fillId="0" borderId="0" xfId="0" applyNumberFormat="1" applyFont="1"/>
    <xf numFmtId="165" fontId="14" fillId="0" borderId="1" xfId="1" applyNumberFormat="1" applyFont="1" applyBorder="1" applyAlignment="1">
      <alignment vertical="center" wrapText="1"/>
    </xf>
    <xf numFmtId="165" fontId="14" fillId="0" borderId="5" xfId="1" applyNumberFormat="1" applyFont="1" applyBorder="1" applyAlignment="1">
      <alignment vertical="center" wrapText="1"/>
    </xf>
    <xf numFmtId="165" fontId="0" fillId="0" borderId="1" xfId="1" applyNumberFormat="1" applyFont="1" applyBorder="1"/>
    <xf numFmtId="0" fontId="5" fillId="3" borderId="1" xfId="0" applyFont="1" applyFill="1" applyBorder="1" applyAlignment="1">
      <alignment horizontal="left" vertical="center" wrapText="1"/>
    </xf>
    <xf numFmtId="164" fontId="5" fillId="0" borderId="1" xfId="1" applyNumberFormat="1" applyFont="1" applyBorder="1"/>
    <xf numFmtId="171" fontId="9" fillId="0" borderId="1" xfId="0" applyNumberFormat="1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5" fillId="0" borderId="4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43" fontId="13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43" fontId="26" fillId="0" borderId="1" xfId="1" applyFont="1" applyFill="1" applyBorder="1" applyAlignment="1">
      <alignment horizontal="center" vertical="center" wrapText="1"/>
    </xf>
    <xf numFmtId="4" fontId="27" fillId="0" borderId="1" xfId="0" applyNumberFormat="1" applyFont="1" applyBorder="1" applyAlignment="1">
      <alignment horizontal="right" vertical="center"/>
    </xf>
    <xf numFmtId="43" fontId="27" fillId="0" borderId="1" xfId="1" applyFont="1" applyBorder="1" applyAlignment="1">
      <alignment horizontal="center" vertical="center"/>
    </xf>
    <xf numFmtId="165" fontId="27" fillId="0" borderId="1" xfId="1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 wrapText="1"/>
    </xf>
    <xf numFmtId="43" fontId="28" fillId="0" borderId="1" xfId="1" applyFont="1" applyBorder="1" applyAlignment="1">
      <alignment horizontal="center" vertical="center" wrapText="1"/>
    </xf>
    <xf numFmtId="43" fontId="26" fillId="0" borderId="1" xfId="1" applyFont="1" applyBorder="1" applyAlignment="1">
      <alignment horizontal="center" vertical="center" wrapText="1"/>
    </xf>
    <xf numFmtId="43" fontId="26" fillId="0" borderId="1" xfId="1" applyFont="1" applyBorder="1" applyAlignment="1">
      <alignment horizontal="center" vertical="center"/>
    </xf>
    <xf numFmtId="165" fontId="26" fillId="0" borderId="1" xfId="1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43" fontId="26" fillId="0" borderId="1" xfId="1" applyFont="1" applyBorder="1" applyAlignment="1">
      <alignment vertical="center" wrapText="1"/>
    </xf>
    <xf numFmtId="165" fontId="26" fillId="0" borderId="1" xfId="1" applyNumberFormat="1" applyFont="1" applyFill="1" applyBorder="1" applyAlignment="1">
      <alignment horizontal="center" vertical="center" wrapText="1"/>
    </xf>
    <xf numFmtId="43" fontId="26" fillId="0" borderId="1" xfId="1" applyFont="1" applyBorder="1" applyAlignment="1">
      <alignment horizontal="right" vertical="center" wrapText="1"/>
    </xf>
    <xf numFmtId="43" fontId="28" fillId="0" borderId="1" xfId="1" applyFont="1" applyBorder="1" applyAlignment="1">
      <alignment vertical="center" wrapText="1"/>
    </xf>
    <xf numFmtId="43" fontId="26" fillId="0" borderId="1" xfId="0" applyNumberFormat="1" applyFont="1" applyBorder="1" applyAlignment="1">
      <alignment horizontal="center"/>
    </xf>
    <xf numFmtId="1" fontId="26" fillId="0" borderId="1" xfId="0" applyNumberFormat="1" applyFont="1" applyBorder="1" applyAlignment="1">
      <alignment horizontal="center" vertical="center" wrapText="1"/>
    </xf>
    <xf numFmtId="43" fontId="26" fillId="0" borderId="1" xfId="1" applyFont="1" applyBorder="1" applyAlignment="1">
      <alignment vertical="center"/>
    </xf>
    <xf numFmtId="0" fontId="26" fillId="0" borderId="1" xfId="0" applyFont="1" applyBorder="1" applyAlignment="1">
      <alignment horizontal="right" vertical="center" wrapText="1"/>
    </xf>
    <xf numFmtId="2" fontId="26" fillId="0" borderId="1" xfId="1" applyNumberFormat="1" applyFont="1" applyBorder="1" applyAlignment="1">
      <alignment horizontal="center" vertical="center"/>
    </xf>
    <xf numFmtId="2" fontId="26" fillId="0" borderId="1" xfId="1" applyNumberFormat="1" applyFont="1" applyBorder="1" applyAlignment="1">
      <alignment vertical="center"/>
    </xf>
    <xf numFmtId="2" fontId="28" fillId="0" borderId="1" xfId="1" applyNumberFormat="1" applyFont="1" applyBorder="1" applyAlignment="1">
      <alignment vertical="center" wrapText="1"/>
    </xf>
    <xf numFmtId="43" fontId="26" fillId="0" borderId="1" xfId="0" applyNumberFormat="1" applyFont="1" applyBorder="1" applyAlignment="1">
      <alignment horizontal="center" vertical="center" wrapText="1"/>
    </xf>
    <xf numFmtId="165" fontId="28" fillId="0" borderId="1" xfId="1" applyNumberFormat="1" applyFont="1" applyBorder="1" applyAlignment="1">
      <alignment horizontal="center" vertical="center" wrapText="1"/>
    </xf>
    <xf numFmtId="43" fontId="14" fillId="0" borderId="1" xfId="1" applyFont="1" applyBorder="1" applyAlignment="1">
      <alignment horizontal="center" vertical="center" wrapText="1"/>
    </xf>
    <xf numFmtId="43" fontId="14" fillId="0" borderId="1" xfId="1" applyFont="1" applyBorder="1" applyAlignment="1">
      <alignment horizontal="right" vertical="center"/>
    </xf>
    <xf numFmtId="165" fontId="14" fillId="0" borderId="1" xfId="1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right" vertical="center" wrapText="1"/>
    </xf>
    <xf numFmtId="43" fontId="21" fillId="0" borderId="1" xfId="1" applyFont="1" applyBorder="1" applyAlignment="1">
      <alignment horizontal="center" vertical="center" wrapText="1"/>
    </xf>
    <xf numFmtId="43" fontId="21" fillId="0" borderId="1" xfId="1" applyFont="1" applyBorder="1" applyAlignment="1">
      <alignment vertical="center" wrapText="1"/>
    </xf>
    <xf numFmtId="165" fontId="21" fillId="0" borderId="1" xfId="1" applyNumberFormat="1" applyFont="1" applyBorder="1" applyAlignment="1">
      <alignment horizontal="center" vertical="center" wrapText="1"/>
    </xf>
    <xf numFmtId="43" fontId="14" fillId="0" borderId="1" xfId="1" applyFont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/>
    </xf>
    <xf numFmtId="165" fontId="12" fillId="0" borderId="1" xfId="1" applyNumberFormat="1" applyFont="1" applyBorder="1" applyAlignment="1"/>
    <xf numFmtId="0" fontId="26" fillId="0" borderId="1" xfId="0" applyFont="1" applyBorder="1" applyAlignment="1">
      <alignment horizontal="center" vertical="center"/>
    </xf>
    <xf numFmtId="43" fontId="26" fillId="0" borderId="1" xfId="1" applyFont="1" applyBorder="1"/>
    <xf numFmtId="165" fontId="14" fillId="0" borderId="1" xfId="1" applyNumberFormat="1" applyFont="1" applyBorder="1" applyAlignment="1">
      <alignment horizontal="center" vertical="center"/>
    </xf>
    <xf numFmtId="43" fontId="14" fillId="0" borderId="4" xfId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168" fontId="26" fillId="0" borderId="1" xfId="1" applyNumberFormat="1" applyFont="1" applyBorder="1"/>
    <xf numFmtId="168" fontId="14" fillId="0" borderId="1" xfId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68" fontId="26" fillId="0" borderId="1" xfId="1" applyNumberFormat="1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168" fontId="26" fillId="0" borderId="1" xfId="1" applyNumberFormat="1" applyFont="1" applyFill="1" applyBorder="1" applyAlignment="1">
      <alignment vertical="center"/>
    </xf>
    <xf numFmtId="167" fontId="26" fillId="0" borderId="1" xfId="1" applyNumberFormat="1" applyFont="1" applyBorder="1"/>
    <xf numFmtId="167" fontId="14" fillId="0" borderId="1" xfId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2" fontId="14" fillId="0" borderId="1" xfId="1" applyNumberFormat="1" applyFont="1" applyBorder="1" applyAlignment="1">
      <alignment horizontal="center" vertical="center" wrapText="1"/>
    </xf>
    <xf numFmtId="173" fontId="14" fillId="0" borderId="1" xfId="1" applyNumberFormat="1" applyFont="1" applyBorder="1" applyAlignment="1">
      <alignment horizontal="center" vertical="center" wrapText="1"/>
    </xf>
    <xf numFmtId="174" fontId="14" fillId="0" borderId="0" xfId="0" applyNumberFormat="1" applyFont="1" applyAlignment="1">
      <alignment vertical="center"/>
    </xf>
    <xf numFmtId="174" fontId="14" fillId="0" borderId="1" xfId="1" applyNumberFormat="1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7" fontId="26" fillId="0" borderId="0" xfId="1" applyNumberFormat="1" applyFont="1" applyBorder="1"/>
    <xf numFmtId="167" fontId="14" fillId="0" borderId="0" xfId="1" applyNumberFormat="1" applyFont="1" applyBorder="1" applyAlignment="1">
      <alignment horizontal="center" vertical="center" wrapText="1"/>
    </xf>
    <xf numFmtId="165" fontId="14" fillId="0" borderId="0" xfId="1" applyNumberFormat="1" applyFont="1" applyBorder="1" applyAlignment="1">
      <alignment horizontal="center" vertical="center" wrapText="1"/>
    </xf>
    <xf numFmtId="165" fontId="14" fillId="0" borderId="0" xfId="1" applyNumberFormat="1" applyFont="1" applyBorder="1" applyAlignment="1">
      <alignment horizontal="center" vertical="center"/>
    </xf>
    <xf numFmtId="43" fontId="14" fillId="0" borderId="0" xfId="1" applyFont="1" applyBorder="1" applyAlignment="1">
      <alignment horizontal="center" vertical="center" wrapText="1"/>
    </xf>
    <xf numFmtId="167" fontId="26" fillId="0" borderId="1" xfId="1" applyNumberFormat="1" applyFont="1" applyBorder="1" applyAlignment="1">
      <alignment vertical="center"/>
    </xf>
    <xf numFmtId="0" fontId="25" fillId="0" borderId="0" xfId="2" applyFont="1" applyAlignment="1">
      <alignment horizontal="left" vertical="center"/>
    </xf>
    <xf numFmtId="167" fontId="12" fillId="0" borderId="0" xfId="0" applyNumberFormat="1" applyFont="1"/>
    <xf numFmtId="43" fontId="12" fillId="0" borderId="0" xfId="1" applyFont="1" applyAlignment="1"/>
    <xf numFmtId="43" fontId="12" fillId="0" borderId="0" xfId="1" applyFont="1"/>
    <xf numFmtId="43" fontId="12" fillId="0" borderId="0" xfId="1" applyFont="1" applyAlignment="1">
      <alignment horizontal="left" vertical="center"/>
    </xf>
    <xf numFmtId="0" fontId="32" fillId="0" borderId="0" xfId="0" applyFont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5" fontId="14" fillId="0" borderId="1" xfId="1" applyNumberFormat="1" applyFont="1" applyBorder="1" applyAlignment="1"/>
    <xf numFmtId="43" fontId="14" fillId="0" borderId="1" xfId="1" applyFont="1" applyBorder="1" applyAlignment="1"/>
    <xf numFmtId="165" fontId="13" fillId="0" borderId="1" xfId="0" applyNumberFormat="1" applyFont="1" applyBorder="1" applyAlignment="1">
      <alignment horizontal="center" vertical="center"/>
    </xf>
    <xf numFmtId="165" fontId="13" fillId="0" borderId="1" xfId="1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65" fontId="13" fillId="0" borderId="0" xfId="0" applyNumberFormat="1" applyFont="1"/>
    <xf numFmtId="165" fontId="13" fillId="0" borderId="0" xfId="1" applyNumberFormat="1" applyFont="1" applyBorder="1" applyAlignment="1">
      <alignment horizontal="right"/>
    </xf>
    <xf numFmtId="0" fontId="14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14" fontId="14" fillId="3" borderId="1" xfId="0" applyNumberFormat="1" applyFont="1" applyFill="1" applyBorder="1" applyAlignment="1">
      <alignment horizontal="center" vertical="center" wrapText="1"/>
    </xf>
    <xf numFmtId="2" fontId="14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32" fillId="3" borderId="1" xfId="1" applyFont="1" applyFill="1" applyBorder="1" applyAlignment="1">
      <alignment horizontal="center" vertical="center"/>
    </xf>
    <xf numFmtId="43" fontId="12" fillId="0" borderId="0" xfId="1" applyFont="1" applyFill="1" applyAlignment="1"/>
    <xf numFmtId="43" fontId="12" fillId="0" borderId="0" xfId="1" applyFont="1" applyFill="1"/>
    <xf numFmtId="0" fontId="14" fillId="0" borderId="0" xfId="0" quotePrefix="1" applyFont="1" applyAlignment="1">
      <alignment vertical="center"/>
    </xf>
    <xf numFmtId="43" fontId="29" fillId="0" borderId="1" xfId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5" fontId="14" fillId="0" borderId="1" xfId="1" applyNumberFormat="1" applyFont="1" applyBorder="1" applyAlignment="1">
      <alignment horizontal="right"/>
    </xf>
    <xf numFmtId="3" fontId="27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165" fontId="14" fillId="0" borderId="1" xfId="1" applyNumberFormat="1" applyFont="1" applyBorder="1"/>
    <xf numFmtId="43" fontId="12" fillId="0" borderId="1" xfId="1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164" fontId="28" fillId="0" borderId="1" xfId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43" fontId="29" fillId="0" borderId="1" xfId="1" applyFont="1" applyBorder="1" applyAlignment="1">
      <alignment vertical="center"/>
    </xf>
    <xf numFmtId="3" fontId="27" fillId="0" borderId="1" xfId="0" applyNumberFormat="1" applyFont="1" applyBorder="1" applyAlignment="1">
      <alignment vertical="center"/>
    </xf>
    <xf numFmtId="165" fontId="27" fillId="0" borderId="1" xfId="1" applyNumberFormat="1" applyFont="1" applyBorder="1" applyAlignment="1">
      <alignment vertical="center"/>
    </xf>
    <xf numFmtId="43" fontId="27" fillId="0" borderId="1" xfId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43" fontId="27" fillId="0" borderId="1" xfId="1" applyFont="1" applyBorder="1" applyAlignment="1">
      <alignment horizontal="right" vertical="center"/>
    </xf>
    <xf numFmtId="0" fontId="26" fillId="0" borderId="1" xfId="0" applyFont="1" applyBorder="1" applyAlignment="1">
      <alignment vertical="center" wrapText="1"/>
    </xf>
    <xf numFmtId="172" fontId="27" fillId="0" borderId="1" xfId="0" applyNumberFormat="1" applyFont="1" applyBorder="1" applyAlignment="1">
      <alignment horizontal="right" vertical="center"/>
    </xf>
    <xf numFmtId="9" fontId="27" fillId="0" borderId="1" xfId="0" applyNumberFormat="1" applyFont="1" applyBorder="1" applyAlignment="1">
      <alignment horizontal="right" vertical="center"/>
    </xf>
    <xf numFmtId="0" fontId="14" fillId="0" borderId="0" xfId="0" quotePrefix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 wrapText="1"/>
    </xf>
    <xf numFmtId="0" fontId="35" fillId="0" borderId="0" xfId="0" applyFont="1" applyAlignment="1">
      <alignment vertical="center"/>
    </xf>
    <xf numFmtId="7" fontId="17" fillId="0" borderId="0" xfId="0" applyNumberFormat="1" applyFont="1" applyAlignment="1">
      <alignment vertical="center"/>
    </xf>
    <xf numFmtId="175" fontId="0" fillId="0" borderId="0" xfId="0" applyNumberFormat="1"/>
    <xf numFmtId="164" fontId="9" fillId="0" borderId="1" xfId="1" applyNumberFormat="1" applyFont="1" applyBorder="1" applyAlignment="1">
      <alignment horizontal="center" vertical="center"/>
    </xf>
    <xf numFmtId="164" fontId="8" fillId="0" borderId="4" xfId="1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/>
    </xf>
    <xf numFmtId="0" fontId="38" fillId="0" borderId="0" xfId="0" applyFont="1"/>
    <xf numFmtId="43" fontId="5" fillId="0" borderId="1" xfId="1" applyNumberFormat="1" applyFont="1" applyBorder="1" applyAlignment="1">
      <alignment horizontal="center" vertical="center" wrapText="1"/>
    </xf>
    <xf numFmtId="43" fontId="0" fillId="0" borderId="0" xfId="1" applyNumberFormat="1" applyFont="1"/>
    <xf numFmtId="49" fontId="1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4" fontId="0" fillId="0" borderId="0" xfId="0" applyNumberFormat="1"/>
    <xf numFmtId="0" fontId="0" fillId="3" borderId="0" xfId="0" applyFill="1"/>
    <xf numFmtId="43" fontId="39" fillId="0" borderId="1" xfId="1" applyFont="1" applyBorder="1" applyAlignment="1">
      <alignment horizontal="center" vertical="center"/>
    </xf>
    <xf numFmtId="43" fontId="39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165" fontId="39" fillId="0" borderId="0" xfId="1" applyNumberFormat="1" applyFont="1" applyAlignment="1">
      <alignment horizont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43" fontId="5" fillId="0" borderId="1" xfId="1" applyNumberFormat="1" applyFont="1" applyBorder="1" applyAlignment="1">
      <alignment horizontal="center" vertical="center"/>
    </xf>
    <xf numFmtId="174" fontId="5" fillId="0" borderId="1" xfId="1" applyNumberFormat="1" applyFont="1" applyBorder="1" applyAlignment="1">
      <alignment horizontal="center" vertical="center" wrapText="1"/>
    </xf>
    <xf numFmtId="173" fontId="5" fillId="0" borderId="1" xfId="1" applyNumberFormat="1" applyFont="1" applyBorder="1" applyAlignment="1">
      <alignment horizontal="center" vertical="center" wrapText="1"/>
    </xf>
    <xf numFmtId="2" fontId="5" fillId="0" borderId="1" xfId="1" applyNumberFormat="1" applyFont="1" applyBorder="1" applyAlignment="1">
      <alignment horizontal="center" vertical="center" wrapText="1"/>
    </xf>
    <xf numFmtId="173" fontId="5" fillId="0" borderId="1" xfId="1" applyNumberFormat="1" applyFont="1" applyBorder="1" applyAlignment="1">
      <alignment horizontal="right" vertical="center" wrapText="1"/>
    </xf>
    <xf numFmtId="165" fontId="5" fillId="0" borderId="1" xfId="0" applyNumberFormat="1" applyFont="1" applyBorder="1" applyAlignment="1">
      <alignment vertical="center"/>
    </xf>
    <xf numFmtId="10" fontId="9" fillId="0" borderId="1" xfId="0" applyNumberFormat="1" applyFont="1" applyBorder="1" applyAlignment="1">
      <alignment horizontal="right" vertical="center"/>
    </xf>
    <xf numFmtId="0" fontId="40" fillId="0" borderId="1" xfId="0" applyFont="1" applyBorder="1" applyAlignment="1"/>
    <xf numFmtId="43" fontId="5" fillId="0" borderId="4" xfId="1" applyNumberFormat="1" applyFont="1" applyBorder="1" applyAlignment="1">
      <alignment horizontal="center" vertical="center" wrapText="1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5" fillId="0" borderId="4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right" vertical="center"/>
    </xf>
    <xf numFmtId="165" fontId="8" fillId="0" borderId="1" xfId="1" applyNumberFormat="1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3" fontId="5" fillId="0" borderId="4" xfId="1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3" fontId="8" fillId="0" borderId="1" xfId="1" applyNumberFormat="1" applyFont="1" applyFill="1" applyBorder="1" applyAlignment="1">
      <alignment horizontal="center" vertical="center" wrapText="1"/>
    </xf>
    <xf numFmtId="171" fontId="2" fillId="0" borderId="0" xfId="0" applyNumberFormat="1" applyFont="1"/>
    <xf numFmtId="0" fontId="0" fillId="0" borderId="1" xfId="0" applyFont="1" applyBorder="1" applyAlignment="1">
      <alignment horizontal="center" vertical="center"/>
    </xf>
    <xf numFmtId="165" fontId="5" fillId="0" borderId="1" xfId="1" applyNumberFormat="1" applyFont="1" applyFill="1" applyBorder="1" applyAlignment="1"/>
    <xf numFmtId="165" fontId="5" fillId="0" borderId="5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 wrapText="1"/>
    </xf>
    <xf numFmtId="43" fontId="5" fillId="0" borderId="4" xfId="1" applyFont="1" applyBorder="1" applyAlignment="1">
      <alignment horizontal="center" vertical="center" wrapText="1"/>
    </xf>
    <xf numFmtId="43" fontId="9" fillId="0" borderId="1" xfId="1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43" fontId="27" fillId="0" borderId="1" xfId="1" applyFont="1" applyBorder="1" applyAlignment="1">
      <alignment horizontal="right" vertical="center"/>
    </xf>
    <xf numFmtId="43" fontId="29" fillId="0" borderId="1" xfId="1" applyFont="1" applyBorder="1" applyAlignment="1">
      <alignment horizontal="center" vertical="center"/>
    </xf>
    <xf numFmtId="43" fontId="27" fillId="0" borderId="1" xfId="1" applyFont="1" applyBorder="1" applyAlignment="1">
      <alignment horizontal="center" vertical="center"/>
    </xf>
    <xf numFmtId="0" fontId="14" fillId="0" borderId="0" xfId="0" quotePrefix="1" applyFont="1" applyAlignment="1">
      <alignment horizontal="left" vertical="center"/>
    </xf>
    <xf numFmtId="49" fontId="13" fillId="0" borderId="0" xfId="0" applyNumberFormat="1" applyFont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43" fontId="29" fillId="0" borderId="1" xfId="1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2" fillId="3" borderId="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65" fontId="14" fillId="0" borderId="1" xfId="1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5" fontId="13" fillId="0" borderId="4" xfId="1" applyNumberFormat="1" applyFont="1" applyBorder="1" applyAlignment="1">
      <alignment horizontal="right" vertical="center"/>
    </xf>
    <xf numFmtId="165" fontId="13" fillId="0" borderId="5" xfId="1" applyNumberFormat="1" applyFont="1" applyBorder="1" applyAlignment="1">
      <alignment horizontal="right" vertical="center"/>
    </xf>
    <xf numFmtId="165" fontId="14" fillId="0" borderId="1" xfId="1" applyNumberFormat="1" applyFont="1" applyBorder="1" applyAlignment="1">
      <alignment horizontal="center" vertical="center"/>
    </xf>
    <xf numFmtId="165" fontId="14" fillId="0" borderId="4" xfId="1" applyNumberFormat="1" applyFont="1" applyBorder="1" applyAlignment="1">
      <alignment horizontal="center" vertical="center"/>
    </xf>
    <xf numFmtId="165" fontId="14" fillId="0" borderId="5" xfId="1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3" fontId="14" fillId="0" borderId="1" xfId="1" applyFont="1" applyBorder="1" applyAlignment="1">
      <alignment horizontal="center"/>
    </xf>
    <xf numFmtId="165" fontId="14" fillId="0" borderId="1" xfId="1" applyNumberFormat="1" applyFont="1" applyFill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165" fontId="14" fillId="0" borderId="4" xfId="1" applyNumberFormat="1" applyFont="1" applyBorder="1" applyAlignment="1">
      <alignment horizontal="center" vertical="center" wrapText="1"/>
    </xf>
    <xf numFmtId="165" fontId="14" fillId="0" borderId="5" xfId="1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164" fontId="14" fillId="0" borderId="4" xfId="1" applyNumberFormat="1" applyFont="1" applyBorder="1" applyAlignment="1">
      <alignment horizontal="center" vertical="center" wrapText="1"/>
    </xf>
    <xf numFmtId="164" fontId="14" fillId="0" borderId="5" xfId="1" applyNumberFormat="1" applyFont="1" applyBorder="1" applyAlignment="1">
      <alignment horizontal="center" vertical="center" wrapText="1"/>
    </xf>
    <xf numFmtId="0" fontId="26" fillId="0" borderId="1" xfId="2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43" fontId="14" fillId="0" borderId="4" xfId="1" applyFont="1" applyBorder="1" applyAlignment="1">
      <alignment horizontal="center" vertical="center" wrapText="1"/>
    </xf>
    <xf numFmtId="43" fontId="14" fillId="0" borderId="5" xfId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13" xfId="0" applyFont="1" applyFill="1" applyBorder="1" applyAlignment="1">
      <alignment horizontal="left"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/>
    </xf>
    <xf numFmtId="0" fontId="14" fillId="0" borderId="4" xfId="0" quotePrefix="1" applyFont="1" applyBorder="1" applyAlignment="1">
      <alignment horizontal="left" vertical="center"/>
    </xf>
    <xf numFmtId="0" fontId="14" fillId="0" borderId="5" xfId="0" quotePrefix="1" applyFont="1" applyBorder="1" applyAlignment="1">
      <alignment horizontal="left" vertical="center"/>
    </xf>
    <xf numFmtId="43" fontId="27" fillId="0" borderId="4" xfId="0" applyNumberFormat="1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43" fontId="13" fillId="0" borderId="4" xfId="0" applyNumberFormat="1" applyFont="1" applyBorder="1" applyAlignment="1">
      <alignment horizontal="center" vertical="center" wrapText="1"/>
    </xf>
    <xf numFmtId="43" fontId="14" fillId="0" borderId="4" xfId="0" applyNumberFormat="1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/>
    </xf>
    <xf numFmtId="0" fontId="25" fillId="3" borderId="1" xfId="0" applyFont="1" applyFill="1" applyBorder="1" applyAlignment="1">
      <alignment horizontal="center" vertical="center" wrapText="1"/>
    </xf>
    <xf numFmtId="43" fontId="13" fillId="0" borderId="4" xfId="1" applyFont="1" applyBorder="1" applyAlignment="1">
      <alignment horizontal="center" vertical="center" wrapText="1"/>
    </xf>
    <xf numFmtId="43" fontId="13" fillId="0" borderId="5" xfId="1" applyFont="1" applyBorder="1" applyAlignment="1">
      <alignment horizontal="center" vertical="center" wrapText="1"/>
    </xf>
    <xf numFmtId="43" fontId="29" fillId="0" borderId="4" xfId="1" applyFont="1" applyBorder="1" applyAlignment="1">
      <alignment horizontal="center" vertical="center" wrapText="1"/>
    </xf>
    <xf numFmtId="43" fontId="29" fillId="0" borderId="5" xfId="1" applyFont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66" fontId="25" fillId="0" borderId="2" xfId="1" applyNumberFormat="1" applyFont="1" applyFill="1" applyBorder="1" applyAlignment="1">
      <alignment horizontal="center" vertical="center" wrapText="1"/>
    </xf>
    <xf numFmtId="166" fontId="25" fillId="0" borderId="3" xfId="1" applyNumberFormat="1" applyFont="1" applyFill="1" applyBorder="1" applyAlignment="1">
      <alignment horizontal="center" vertical="center" wrapText="1"/>
    </xf>
    <xf numFmtId="43" fontId="14" fillId="0" borderId="4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right" vertical="center" wrapText="1"/>
    </xf>
    <xf numFmtId="0" fontId="25" fillId="0" borderId="1" xfId="0" applyFont="1" applyBorder="1" applyAlignment="1">
      <alignment horizontal="center" vertical="center" wrapText="1"/>
    </xf>
    <xf numFmtId="43" fontId="29" fillId="0" borderId="4" xfId="0" applyNumberFormat="1" applyFont="1" applyBorder="1" applyAlignment="1">
      <alignment horizontal="center" vertical="center" wrapText="1"/>
    </xf>
    <xf numFmtId="43" fontId="29" fillId="0" borderId="5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0" fontId="26" fillId="0" borderId="1" xfId="0" applyFont="1" applyBorder="1" applyAlignment="1">
      <alignment horizontal="right" vertical="center" wrapText="1"/>
    </xf>
    <xf numFmtId="43" fontId="26" fillId="0" borderId="1" xfId="1" applyFont="1" applyBorder="1" applyAlignment="1">
      <alignment horizontal="right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43" fontId="26" fillId="0" borderId="1" xfId="0" applyNumberFormat="1" applyFont="1" applyBorder="1" applyAlignment="1">
      <alignment horizontal="right" vertical="center" wrapText="1"/>
    </xf>
    <xf numFmtId="2" fontId="26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7" fillId="4" borderId="1" xfId="0" applyFont="1" applyFill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43" fontId="11" fillId="0" borderId="4" xfId="0" applyNumberFormat="1" applyFont="1" applyBorder="1" applyAlignment="1">
      <alignment horizontal="center" vertical="center" wrapText="1"/>
    </xf>
    <xf numFmtId="43" fontId="11" fillId="0" borderId="5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43" fontId="11" fillId="0" borderId="4" xfId="1" applyFont="1" applyBorder="1" applyAlignment="1">
      <alignment horizontal="center" vertical="center" wrapText="1"/>
    </xf>
    <xf numFmtId="43" fontId="11" fillId="0" borderId="5" xfId="1" applyFont="1" applyBorder="1" applyAlignment="1">
      <alignment horizontal="center" vertical="center" wrapText="1"/>
    </xf>
    <xf numFmtId="43" fontId="9" fillId="0" borderId="4" xfId="0" applyNumberFormat="1" applyFont="1" applyBorder="1" applyAlignment="1">
      <alignment horizontal="center" vertical="center" wrapText="1"/>
    </xf>
    <xf numFmtId="43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6" fontId="7" fillId="4" borderId="2" xfId="1" applyNumberFormat="1" applyFont="1" applyFill="1" applyBorder="1" applyAlignment="1">
      <alignment horizontal="center" vertical="center" wrapText="1"/>
    </xf>
    <xf numFmtId="166" fontId="7" fillId="4" borderId="3" xfId="1" applyNumberFormat="1" applyFont="1" applyFill="1" applyBorder="1" applyAlignment="1">
      <alignment horizontal="center" vertical="center" wrapText="1"/>
    </xf>
    <xf numFmtId="43" fontId="5" fillId="0" borderId="4" xfId="0" applyNumberFormat="1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43" fontId="4" fillId="0" borderId="4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165" fontId="0" fillId="0" borderId="6" xfId="1" applyNumberFormat="1" applyFont="1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165" fontId="5" fillId="0" borderId="4" xfId="1" applyNumberFormat="1" applyFont="1" applyBorder="1" applyAlignment="1">
      <alignment horizontal="center"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3" fontId="5" fillId="0" borderId="4" xfId="1" applyFont="1" applyBorder="1" applyAlignment="1">
      <alignment horizontal="center" vertical="center" wrapText="1"/>
    </xf>
    <xf numFmtId="43" fontId="5" fillId="0" borderId="5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 vertical="center"/>
    </xf>
    <xf numFmtId="165" fontId="5" fillId="0" borderId="5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5" fillId="0" borderId="1" xfId="1" applyFont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165" fontId="4" fillId="0" borderId="4" xfId="1" applyNumberFormat="1" applyFont="1" applyBorder="1" applyAlignment="1">
      <alignment horizontal="right" vertical="center"/>
    </xf>
    <xf numFmtId="165" fontId="4" fillId="0" borderId="5" xfId="1" applyNumberFormat="1" applyFont="1" applyBorder="1" applyAlignment="1">
      <alignment horizontal="right" vertical="center"/>
    </xf>
    <xf numFmtId="165" fontId="5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9" fillId="0" borderId="1" xfId="1" applyFont="1" applyBorder="1" applyAlignment="1">
      <alignment horizontal="right" vertical="center"/>
    </xf>
    <xf numFmtId="164" fontId="8" fillId="0" borderId="4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15" xfId="0" quotePrefix="1" applyFont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166" fontId="7" fillId="3" borderId="2" xfId="1" applyNumberFormat="1" applyFont="1" applyFill="1" applyBorder="1" applyAlignment="1">
      <alignment horizontal="center" vertical="center" wrapText="1"/>
    </xf>
    <xf numFmtId="166" fontId="7" fillId="3" borderId="3" xfId="1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right" vertical="center" wrapText="1"/>
    </xf>
    <xf numFmtId="2" fontId="5" fillId="0" borderId="5" xfId="0" applyNumberFormat="1" applyFont="1" applyBorder="1" applyAlignment="1">
      <alignment horizontal="right" vertical="center" wrapText="1"/>
    </xf>
    <xf numFmtId="166" fontId="7" fillId="0" borderId="2" xfId="1" applyNumberFormat="1" applyFont="1" applyFill="1" applyBorder="1" applyAlignment="1">
      <alignment horizontal="center" vertical="center" wrapText="1"/>
    </xf>
    <xf numFmtId="166" fontId="7" fillId="0" borderId="3" xfId="1" applyNumberFormat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 wrapText="1"/>
    </xf>
    <xf numFmtId="43" fontId="11" fillId="3" borderId="4" xfId="1" applyFont="1" applyFill="1" applyBorder="1" applyAlignment="1">
      <alignment horizontal="center" vertical="center" wrapText="1"/>
    </xf>
    <xf numFmtId="43" fontId="11" fillId="3" borderId="5" xfId="1" applyFont="1" applyFill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3" fontId="9" fillId="0" borderId="4" xfId="1" applyFont="1" applyBorder="1" applyAlignment="1">
      <alignment horizontal="center" vertical="center"/>
    </xf>
    <xf numFmtId="43" fontId="9" fillId="0" borderId="5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/>
    </xf>
    <xf numFmtId="43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66" fontId="24" fillId="3" borderId="2" xfId="1" applyNumberFormat="1" applyFont="1" applyFill="1" applyBorder="1" applyAlignment="1">
      <alignment horizontal="center" vertical="center" wrapText="1"/>
    </xf>
    <xf numFmtId="166" fontId="24" fillId="3" borderId="3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4" xfId="0" applyNumberFormat="1" applyFont="1" applyBorder="1" applyAlignment="1">
      <alignment horizontal="right" vertical="center" wrapText="1"/>
    </xf>
    <xf numFmtId="0" fontId="4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69" fontId="5" fillId="0" borderId="4" xfId="0" applyNumberFormat="1" applyFont="1" applyBorder="1" applyAlignment="1">
      <alignment horizontal="right" vertical="center" wrapText="1"/>
    </xf>
    <xf numFmtId="169" fontId="5" fillId="0" borderId="5" xfId="0" applyNumberFormat="1" applyFont="1" applyBorder="1" applyAlignment="1">
      <alignment horizontal="right" vertical="center" wrapText="1"/>
    </xf>
    <xf numFmtId="43" fontId="4" fillId="6" borderId="4" xfId="0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43" fontId="4" fillId="6" borderId="4" xfId="1" applyFont="1" applyFill="1" applyBorder="1" applyAlignment="1">
      <alignment horizontal="center" vertical="center" wrapText="1"/>
    </xf>
    <xf numFmtId="43" fontId="4" fillId="6" borderId="5" xfId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161</xdr:row>
      <xdr:rowOff>0</xdr:rowOff>
    </xdr:from>
    <xdr:to>
      <xdr:col>1</xdr:col>
      <xdr:colOff>207645</xdr:colOff>
      <xdr:row>161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162</xdr:row>
      <xdr:rowOff>38100</xdr:rowOff>
    </xdr:from>
    <xdr:to>
      <xdr:col>1</xdr:col>
      <xdr:colOff>207645</xdr:colOff>
      <xdr:row>162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163</xdr:row>
      <xdr:rowOff>57150</xdr:rowOff>
    </xdr:from>
    <xdr:to>
      <xdr:col>1</xdr:col>
      <xdr:colOff>207645</xdr:colOff>
      <xdr:row>163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164</xdr:row>
      <xdr:rowOff>76200</xdr:rowOff>
    </xdr:from>
    <xdr:to>
      <xdr:col>1</xdr:col>
      <xdr:colOff>207645</xdr:colOff>
      <xdr:row>164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169</xdr:row>
      <xdr:rowOff>161925</xdr:rowOff>
    </xdr:from>
    <xdr:to>
      <xdr:col>1</xdr:col>
      <xdr:colOff>207645</xdr:colOff>
      <xdr:row>169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170</xdr:row>
      <xdr:rowOff>180975</xdr:rowOff>
    </xdr:from>
    <xdr:to>
      <xdr:col>1</xdr:col>
      <xdr:colOff>207645</xdr:colOff>
      <xdr:row>170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165</xdr:row>
      <xdr:rowOff>123825</xdr:rowOff>
    </xdr:from>
    <xdr:to>
      <xdr:col>1</xdr:col>
      <xdr:colOff>207645</xdr:colOff>
      <xdr:row>165</xdr:row>
      <xdr:rowOff>130175</xdr:rowOff>
    </xdr:to>
    <xdr:sp macro="" textlink="">
      <xdr:nvSpPr>
        <xdr:cNvPr id="8" name="Graphic 26">
          <a:extLst>
            <a:ext uri="{FF2B5EF4-FFF2-40B4-BE49-F238E27FC236}">
              <a16:creationId xmlns="" xmlns:a16="http://schemas.microsoft.com/office/drawing/2014/main" id="{00000000-0008-0000-0D00-00000C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166</xdr:row>
      <xdr:rowOff>142875</xdr:rowOff>
    </xdr:from>
    <xdr:to>
      <xdr:col>1</xdr:col>
      <xdr:colOff>207645</xdr:colOff>
      <xdr:row>166</xdr:row>
      <xdr:rowOff>149225</xdr:rowOff>
    </xdr:to>
    <xdr:sp macro="" textlink="">
      <xdr:nvSpPr>
        <xdr:cNvPr id="9" name="Graphic 27">
          <a:extLst>
            <a:ext uri="{FF2B5EF4-FFF2-40B4-BE49-F238E27FC236}">
              <a16:creationId xmlns="" xmlns:a16="http://schemas.microsoft.com/office/drawing/2014/main" id="{00000000-0008-0000-0D00-00000D000000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172</xdr:row>
      <xdr:rowOff>9525</xdr:rowOff>
    </xdr:from>
    <xdr:to>
      <xdr:col>1</xdr:col>
      <xdr:colOff>207645</xdr:colOff>
      <xdr:row>172</xdr:row>
      <xdr:rowOff>26670</xdr:rowOff>
    </xdr:to>
    <xdr:sp macro="" textlink="">
      <xdr:nvSpPr>
        <xdr:cNvPr id="10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19812000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167</xdr:row>
      <xdr:rowOff>123825</xdr:rowOff>
    </xdr:from>
    <xdr:to>
      <xdr:col>1</xdr:col>
      <xdr:colOff>207645</xdr:colOff>
      <xdr:row>167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168</xdr:row>
      <xdr:rowOff>142875</xdr:rowOff>
    </xdr:from>
    <xdr:to>
      <xdr:col>1</xdr:col>
      <xdr:colOff>207645</xdr:colOff>
      <xdr:row>168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19726275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</xdr:colOff>
      <xdr:row>117</xdr:row>
      <xdr:rowOff>1</xdr:rowOff>
    </xdr:from>
    <xdr:to>
      <xdr:col>12</xdr:col>
      <xdr:colOff>804334</xdr:colOff>
      <xdr:row>125</xdr:row>
      <xdr:rowOff>222251</xdr:rowOff>
    </xdr:to>
    <xdr:pic>
      <xdr:nvPicPr>
        <xdr:cNvPr id="13" name="Picture 12">
          <a:extLst>
            <a:ext uri="{FF2B5EF4-FFF2-40B4-BE49-F238E27FC236}">
              <a16:creationId xmlns="" xmlns:a16="http://schemas.microsoft.com/office/drawing/2014/main" id="{798AA25D-C6FB-4BFD-B1FF-53D4C7FD0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4582776"/>
          <a:ext cx="10691283" cy="203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121</xdr:row>
      <xdr:rowOff>0</xdr:rowOff>
    </xdr:from>
    <xdr:to>
      <xdr:col>1</xdr:col>
      <xdr:colOff>207645</xdr:colOff>
      <xdr:row>121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218979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122</xdr:row>
      <xdr:rowOff>38100</xdr:rowOff>
    </xdr:from>
    <xdr:to>
      <xdr:col>1</xdr:col>
      <xdr:colOff>207645</xdr:colOff>
      <xdr:row>122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221551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123</xdr:row>
      <xdr:rowOff>57150</xdr:rowOff>
    </xdr:from>
    <xdr:to>
      <xdr:col>1</xdr:col>
      <xdr:colOff>207645</xdr:colOff>
      <xdr:row>123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223932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124</xdr:row>
      <xdr:rowOff>76200</xdr:rowOff>
    </xdr:from>
    <xdr:to>
      <xdr:col>1</xdr:col>
      <xdr:colOff>207645</xdr:colOff>
      <xdr:row>124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226314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129</xdr:row>
      <xdr:rowOff>161925</xdr:rowOff>
    </xdr:from>
    <xdr:to>
      <xdr:col>1</xdr:col>
      <xdr:colOff>207645</xdr:colOff>
      <xdr:row>129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23812500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130</xdr:row>
      <xdr:rowOff>180975</xdr:rowOff>
    </xdr:from>
    <xdr:to>
      <xdr:col>1</xdr:col>
      <xdr:colOff>207645</xdr:colOff>
      <xdr:row>130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2405062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125</xdr:row>
      <xdr:rowOff>123825</xdr:rowOff>
    </xdr:from>
    <xdr:to>
      <xdr:col>1</xdr:col>
      <xdr:colOff>207645</xdr:colOff>
      <xdr:row>125</xdr:row>
      <xdr:rowOff>130175</xdr:rowOff>
    </xdr:to>
    <xdr:sp macro="" textlink="">
      <xdr:nvSpPr>
        <xdr:cNvPr id="8" name="Graphic 26">
          <a:extLst>
            <a:ext uri="{FF2B5EF4-FFF2-40B4-BE49-F238E27FC236}">
              <a16:creationId xmlns="" xmlns:a16="http://schemas.microsoft.com/office/drawing/2014/main" id="{00000000-0008-0000-0D00-00000C000000}"/>
            </a:ext>
          </a:extLst>
        </xdr:cNvPr>
        <xdr:cNvSpPr>
          <a:spLocks/>
        </xdr:cNvSpPr>
      </xdr:nvSpPr>
      <xdr:spPr>
        <a:xfrm>
          <a:off x="1114425" y="228981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126</xdr:row>
      <xdr:rowOff>142875</xdr:rowOff>
    </xdr:from>
    <xdr:to>
      <xdr:col>1</xdr:col>
      <xdr:colOff>207645</xdr:colOff>
      <xdr:row>126</xdr:row>
      <xdr:rowOff>149225</xdr:rowOff>
    </xdr:to>
    <xdr:sp macro="" textlink="">
      <xdr:nvSpPr>
        <xdr:cNvPr id="9" name="Graphic 27">
          <a:extLst>
            <a:ext uri="{FF2B5EF4-FFF2-40B4-BE49-F238E27FC236}">
              <a16:creationId xmlns="" xmlns:a16="http://schemas.microsoft.com/office/drawing/2014/main" id="{00000000-0008-0000-0D00-00000D000000}"/>
            </a:ext>
          </a:extLst>
        </xdr:cNvPr>
        <xdr:cNvSpPr>
          <a:spLocks/>
        </xdr:cNvSpPr>
      </xdr:nvSpPr>
      <xdr:spPr>
        <a:xfrm>
          <a:off x="1114425" y="2313622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132</xdr:row>
      <xdr:rowOff>9525</xdr:rowOff>
    </xdr:from>
    <xdr:to>
      <xdr:col>1</xdr:col>
      <xdr:colOff>207645</xdr:colOff>
      <xdr:row>132</xdr:row>
      <xdr:rowOff>26670</xdr:rowOff>
    </xdr:to>
    <xdr:sp macro="" textlink="">
      <xdr:nvSpPr>
        <xdr:cNvPr id="10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24174450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127</xdr:row>
      <xdr:rowOff>123825</xdr:rowOff>
    </xdr:from>
    <xdr:to>
      <xdr:col>1</xdr:col>
      <xdr:colOff>207645</xdr:colOff>
      <xdr:row>127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33362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128</xdr:row>
      <xdr:rowOff>142875</xdr:rowOff>
    </xdr:from>
    <xdr:to>
      <xdr:col>1</xdr:col>
      <xdr:colOff>207645</xdr:colOff>
      <xdr:row>128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35743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57150</xdr:colOff>
      <xdr:row>70</xdr:row>
      <xdr:rowOff>361951</xdr:rowOff>
    </xdr:from>
    <xdr:to>
      <xdr:col>12</xdr:col>
      <xdr:colOff>681662</xdr:colOff>
      <xdr:row>80</xdr:row>
      <xdr:rowOff>314326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2192001"/>
          <a:ext cx="9416087" cy="2381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153</xdr:row>
      <xdr:rowOff>0</xdr:rowOff>
    </xdr:from>
    <xdr:to>
      <xdr:col>1</xdr:col>
      <xdr:colOff>207645</xdr:colOff>
      <xdr:row>153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361092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154</xdr:row>
      <xdr:rowOff>38100</xdr:rowOff>
    </xdr:from>
    <xdr:to>
      <xdr:col>1</xdr:col>
      <xdr:colOff>207645</xdr:colOff>
      <xdr:row>154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364236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155</xdr:row>
      <xdr:rowOff>57150</xdr:rowOff>
    </xdr:from>
    <xdr:to>
      <xdr:col>1</xdr:col>
      <xdr:colOff>207645</xdr:colOff>
      <xdr:row>155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367855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156</xdr:row>
      <xdr:rowOff>76200</xdr:rowOff>
    </xdr:from>
    <xdr:to>
      <xdr:col>1</xdr:col>
      <xdr:colOff>207645</xdr:colOff>
      <xdr:row>156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372141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159</xdr:row>
      <xdr:rowOff>161925</xdr:rowOff>
    </xdr:from>
    <xdr:to>
      <xdr:col>1</xdr:col>
      <xdr:colOff>207645</xdr:colOff>
      <xdr:row>159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3795712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160</xdr:row>
      <xdr:rowOff>180975</xdr:rowOff>
    </xdr:from>
    <xdr:to>
      <xdr:col>1</xdr:col>
      <xdr:colOff>207645</xdr:colOff>
      <xdr:row>160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381952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162</xdr:row>
      <xdr:rowOff>9525</xdr:rowOff>
    </xdr:from>
    <xdr:to>
      <xdr:col>1</xdr:col>
      <xdr:colOff>207645</xdr:colOff>
      <xdr:row>162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3831907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157</xdr:row>
      <xdr:rowOff>123825</xdr:rowOff>
    </xdr:from>
    <xdr:to>
      <xdr:col>1</xdr:col>
      <xdr:colOff>207645</xdr:colOff>
      <xdr:row>157</xdr:row>
      <xdr:rowOff>130175</xdr:rowOff>
    </xdr:to>
    <xdr:sp macro="" textlink="">
      <xdr:nvSpPr>
        <xdr:cNvPr id="9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374808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158</xdr:row>
      <xdr:rowOff>142875</xdr:rowOff>
    </xdr:from>
    <xdr:to>
      <xdr:col>1</xdr:col>
      <xdr:colOff>207645</xdr:colOff>
      <xdr:row>158</xdr:row>
      <xdr:rowOff>149225</xdr:rowOff>
    </xdr:to>
    <xdr:sp macro="" textlink="">
      <xdr:nvSpPr>
        <xdr:cNvPr id="10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377190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47626</xdr:colOff>
      <xdr:row>105</xdr:row>
      <xdr:rowOff>20294</xdr:rowOff>
    </xdr:from>
    <xdr:to>
      <xdr:col>12</xdr:col>
      <xdr:colOff>695325</xdr:colOff>
      <xdr:row>112</xdr:row>
      <xdr:rowOff>142875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22918394"/>
          <a:ext cx="9439274" cy="172278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114</xdr:row>
      <xdr:rowOff>26606</xdr:rowOff>
    </xdr:from>
    <xdr:to>
      <xdr:col>12</xdr:col>
      <xdr:colOff>695326</xdr:colOff>
      <xdr:row>120</xdr:row>
      <xdr:rowOff>9526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1" y="24915431"/>
          <a:ext cx="9448800" cy="184982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121</xdr:row>
      <xdr:rowOff>40144</xdr:rowOff>
    </xdr:from>
    <xdr:to>
      <xdr:col>12</xdr:col>
      <xdr:colOff>714375</xdr:colOff>
      <xdr:row>125</xdr:row>
      <xdr:rowOff>152399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27024469"/>
          <a:ext cx="9458325" cy="2169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123</xdr:row>
      <xdr:rowOff>0</xdr:rowOff>
    </xdr:from>
    <xdr:to>
      <xdr:col>1</xdr:col>
      <xdr:colOff>207645</xdr:colOff>
      <xdr:row>123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248602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124</xdr:row>
      <xdr:rowOff>38100</xdr:rowOff>
    </xdr:from>
    <xdr:to>
      <xdr:col>1</xdr:col>
      <xdr:colOff>207645</xdr:colOff>
      <xdr:row>124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251079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125</xdr:row>
      <xdr:rowOff>57150</xdr:rowOff>
    </xdr:from>
    <xdr:to>
      <xdr:col>1</xdr:col>
      <xdr:colOff>207645</xdr:colOff>
      <xdr:row>125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253365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126</xdr:row>
      <xdr:rowOff>76200</xdr:rowOff>
    </xdr:from>
    <xdr:to>
      <xdr:col>1</xdr:col>
      <xdr:colOff>207645</xdr:colOff>
      <xdr:row>126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257079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131</xdr:row>
      <xdr:rowOff>161925</xdr:rowOff>
    </xdr:from>
    <xdr:to>
      <xdr:col>1</xdr:col>
      <xdr:colOff>207645</xdr:colOff>
      <xdr:row>131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2688907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132</xdr:row>
      <xdr:rowOff>180975</xdr:rowOff>
    </xdr:from>
    <xdr:to>
      <xdr:col>1</xdr:col>
      <xdr:colOff>207645</xdr:colOff>
      <xdr:row>132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271272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134</xdr:row>
      <xdr:rowOff>9525</xdr:rowOff>
    </xdr:from>
    <xdr:to>
      <xdr:col>1</xdr:col>
      <xdr:colOff>207645</xdr:colOff>
      <xdr:row>134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2725102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127</xdr:row>
      <xdr:rowOff>123825</xdr:rowOff>
    </xdr:from>
    <xdr:to>
      <xdr:col>1</xdr:col>
      <xdr:colOff>207645</xdr:colOff>
      <xdr:row>127</xdr:row>
      <xdr:rowOff>130175</xdr:rowOff>
    </xdr:to>
    <xdr:sp macro="" textlink="">
      <xdr:nvSpPr>
        <xdr:cNvPr id="9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59746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128</xdr:row>
      <xdr:rowOff>142875</xdr:rowOff>
    </xdr:from>
    <xdr:to>
      <xdr:col>1</xdr:col>
      <xdr:colOff>207645</xdr:colOff>
      <xdr:row>128</xdr:row>
      <xdr:rowOff>149225</xdr:rowOff>
    </xdr:to>
    <xdr:sp macro="" textlink="">
      <xdr:nvSpPr>
        <xdr:cNvPr id="10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62128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129</xdr:row>
      <xdr:rowOff>123825</xdr:rowOff>
    </xdr:from>
    <xdr:to>
      <xdr:col>1</xdr:col>
      <xdr:colOff>207645</xdr:colOff>
      <xdr:row>129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641282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130</xdr:row>
      <xdr:rowOff>142875</xdr:rowOff>
    </xdr:from>
    <xdr:to>
      <xdr:col>1</xdr:col>
      <xdr:colOff>207645</xdr:colOff>
      <xdr:row>130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66509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140</xdr:row>
      <xdr:rowOff>0</xdr:rowOff>
    </xdr:from>
    <xdr:to>
      <xdr:col>1</xdr:col>
      <xdr:colOff>207645</xdr:colOff>
      <xdr:row>140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282130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141</xdr:row>
      <xdr:rowOff>38100</xdr:rowOff>
    </xdr:from>
    <xdr:to>
      <xdr:col>1</xdr:col>
      <xdr:colOff>207645</xdr:colOff>
      <xdr:row>141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284607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142</xdr:row>
      <xdr:rowOff>57150</xdr:rowOff>
    </xdr:from>
    <xdr:to>
      <xdr:col>1</xdr:col>
      <xdr:colOff>207645</xdr:colOff>
      <xdr:row>142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286893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143</xdr:row>
      <xdr:rowOff>76200</xdr:rowOff>
    </xdr:from>
    <xdr:to>
      <xdr:col>1</xdr:col>
      <xdr:colOff>207645</xdr:colOff>
      <xdr:row>143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290607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148</xdr:row>
      <xdr:rowOff>161925</xdr:rowOff>
    </xdr:from>
    <xdr:to>
      <xdr:col>1</xdr:col>
      <xdr:colOff>207645</xdr:colOff>
      <xdr:row>148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2980372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149</xdr:row>
      <xdr:rowOff>180975</xdr:rowOff>
    </xdr:from>
    <xdr:to>
      <xdr:col>1</xdr:col>
      <xdr:colOff>207645</xdr:colOff>
      <xdr:row>149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300418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151</xdr:row>
      <xdr:rowOff>9525</xdr:rowOff>
    </xdr:from>
    <xdr:to>
      <xdr:col>1</xdr:col>
      <xdr:colOff>207645</xdr:colOff>
      <xdr:row>151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3016567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144</xdr:row>
      <xdr:rowOff>123825</xdr:rowOff>
    </xdr:from>
    <xdr:to>
      <xdr:col>1</xdr:col>
      <xdr:colOff>207645</xdr:colOff>
      <xdr:row>144</xdr:row>
      <xdr:rowOff>130175</xdr:rowOff>
    </xdr:to>
    <xdr:sp macro="" textlink="">
      <xdr:nvSpPr>
        <xdr:cNvPr id="9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9203650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145</xdr:row>
      <xdr:rowOff>142875</xdr:rowOff>
    </xdr:from>
    <xdr:to>
      <xdr:col>1</xdr:col>
      <xdr:colOff>207645</xdr:colOff>
      <xdr:row>145</xdr:row>
      <xdr:rowOff>149225</xdr:rowOff>
    </xdr:to>
    <xdr:sp macro="" textlink="">
      <xdr:nvSpPr>
        <xdr:cNvPr id="10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9203650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146</xdr:row>
      <xdr:rowOff>123825</xdr:rowOff>
    </xdr:from>
    <xdr:to>
      <xdr:col>1</xdr:col>
      <xdr:colOff>207645</xdr:colOff>
      <xdr:row>146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93274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147</xdr:row>
      <xdr:rowOff>142875</xdr:rowOff>
    </xdr:from>
    <xdr:to>
      <xdr:col>1</xdr:col>
      <xdr:colOff>207645</xdr:colOff>
      <xdr:row>147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95656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175</xdr:row>
      <xdr:rowOff>0</xdr:rowOff>
    </xdr:from>
    <xdr:to>
      <xdr:col>1</xdr:col>
      <xdr:colOff>207645</xdr:colOff>
      <xdr:row>175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248602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176</xdr:row>
      <xdr:rowOff>38100</xdr:rowOff>
    </xdr:from>
    <xdr:to>
      <xdr:col>1</xdr:col>
      <xdr:colOff>207645</xdr:colOff>
      <xdr:row>176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251079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177</xdr:row>
      <xdr:rowOff>57150</xdr:rowOff>
    </xdr:from>
    <xdr:to>
      <xdr:col>1</xdr:col>
      <xdr:colOff>207645</xdr:colOff>
      <xdr:row>177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253365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178</xdr:row>
      <xdr:rowOff>76200</xdr:rowOff>
    </xdr:from>
    <xdr:to>
      <xdr:col>1</xdr:col>
      <xdr:colOff>207645</xdr:colOff>
      <xdr:row>178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257079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183</xdr:row>
      <xdr:rowOff>161925</xdr:rowOff>
    </xdr:from>
    <xdr:to>
      <xdr:col>1</xdr:col>
      <xdr:colOff>207645</xdr:colOff>
      <xdr:row>183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2688907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184</xdr:row>
      <xdr:rowOff>180975</xdr:rowOff>
    </xdr:from>
    <xdr:to>
      <xdr:col>1</xdr:col>
      <xdr:colOff>207645</xdr:colOff>
      <xdr:row>184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271272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186</xdr:row>
      <xdr:rowOff>9525</xdr:rowOff>
    </xdr:from>
    <xdr:to>
      <xdr:col>1</xdr:col>
      <xdr:colOff>207645</xdr:colOff>
      <xdr:row>186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2725102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179</xdr:row>
      <xdr:rowOff>123825</xdr:rowOff>
    </xdr:from>
    <xdr:to>
      <xdr:col>1</xdr:col>
      <xdr:colOff>207645</xdr:colOff>
      <xdr:row>179</xdr:row>
      <xdr:rowOff>130175</xdr:rowOff>
    </xdr:to>
    <xdr:sp macro="" textlink="">
      <xdr:nvSpPr>
        <xdr:cNvPr id="9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59746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180</xdr:row>
      <xdr:rowOff>142875</xdr:rowOff>
    </xdr:from>
    <xdr:to>
      <xdr:col>1</xdr:col>
      <xdr:colOff>207645</xdr:colOff>
      <xdr:row>180</xdr:row>
      <xdr:rowOff>149225</xdr:rowOff>
    </xdr:to>
    <xdr:sp macro="" textlink="">
      <xdr:nvSpPr>
        <xdr:cNvPr id="10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62128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181</xdr:row>
      <xdr:rowOff>123825</xdr:rowOff>
    </xdr:from>
    <xdr:to>
      <xdr:col>1</xdr:col>
      <xdr:colOff>207645</xdr:colOff>
      <xdr:row>181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641282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182</xdr:row>
      <xdr:rowOff>142875</xdr:rowOff>
    </xdr:from>
    <xdr:to>
      <xdr:col>1</xdr:col>
      <xdr:colOff>207645</xdr:colOff>
      <xdr:row>182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66509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112</xdr:row>
      <xdr:rowOff>0</xdr:rowOff>
    </xdr:from>
    <xdr:to>
      <xdr:col>1</xdr:col>
      <xdr:colOff>207645</xdr:colOff>
      <xdr:row>112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361092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113</xdr:row>
      <xdr:rowOff>38100</xdr:rowOff>
    </xdr:from>
    <xdr:to>
      <xdr:col>1</xdr:col>
      <xdr:colOff>207645</xdr:colOff>
      <xdr:row>113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364236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114</xdr:row>
      <xdr:rowOff>57150</xdr:rowOff>
    </xdr:from>
    <xdr:to>
      <xdr:col>1</xdr:col>
      <xdr:colOff>207645</xdr:colOff>
      <xdr:row>114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367855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115</xdr:row>
      <xdr:rowOff>76200</xdr:rowOff>
    </xdr:from>
    <xdr:to>
      <xdr:col>1</xdr:col>
      <xdr:colOff>207645</xdr:colOff>
      <xdr:row>115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372141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122</xdr:row>
      <xdr:rowOff>161925</xdr:rowOff>
    </xdr:from>
    <xdr:to>
      <xdr:col>1</xdr:col>
      <xdr:colOff>207645</xdr:colOff>
      <xdr:row>122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3795712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123</xdr:row>
      <xdr:rowOff>180975</xdr:rowOff>
    </xdr:from>
    <xdr:to>
      <xdr:col>1</xdr:col>
      <xdr:colOff>207645</xdr:colOff>
      <xdr:row>123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381952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124</xdr:row>
      <xdr:rowOff>9525</xdr:rowOff>
    </xdr:from>
    <xdr:to>
      <xdr:col>1</xdr:col>
      <xdr:colOff>207645</xdr:colOff>
      <xdr:row>124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3831907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159</xdr:row>
      <xdr:rowOff>0</xdr:rowOff>
    </xdr:from>
    <xdr:to>
      <xdr:col>1</xdr:col>
      <xdr:colOff>207645</xdr:colOff>
      <xdr:row>159</xdr:row>
      <xdr:rowOff>6350</xdr:rowOff>
    </xdr:to>
    <xdr:sp macro="" textlink="">
      <xdr:nvSpPr>
        <xdr:cNvPr id="2" name="Graphic 19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/>
        </xdr:cNvSpPr>
      </xdr:nvSpPr>
      <xdr:spPr>
        <a:xfrm>
          <a:off x="1114425" y="282130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160</xdr:row>
      <xdr:rowOff>38100</xdr:rowOff>
    </xdr:from>
    <xdr:to>
      <xdr:col>1</xdr:col>
      <xdr:colOff>207645</xdr:colOff>
      <xdr:row>160</xdr:row>
      <xdr:rowOff>44450</xdr:rowOff>
    </xdr:to>
    <xdr:sp macro="" textlink="">
      <xdr:nvSpPr>
        <xdr:cNvPr id="3" name="Graphic 2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/>
        </xdr:cNvSpPr>
      </xdr:nvSpPr>
      <xdr:spPr>
        <a:xfrm>
          <a:off x="1114425" y="284607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161</xdr:row>
      <xdr:rowOff>57150</xdr:rowOff>
    </xdr:from>
    <xdr:to>
      <xdr:col>1</xdr:col>
      <xdr:colOff>207645</xdr:colOff>
      <xdr:row>161</xdr:row>
      <xdr:rowOff>63500</xdr:rowOff>
    </xdr:to>
    <xdr:sp macro="" textlink="">
      <xdr:nvSpPr>
        <xdr:cNvPr id="4" name="Graphic 2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>
          <a:spLocks/>
        </xdr:cNvSpPr>
      </xdr:nvSpPr>
      <xdr:spPr>
        <a:xfrm>
          <a:off x="1114425" y="286893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162</xdr:row>
      <xdr:rowOff>76200</xdr:rowOff>
    </xdr:from>
    <xdr:to>
      <xdr:col>1</xdr:col>
      <xdr:colOff>207645</xdr:colOff>
      <xdr:row>162</xdr:row>
      <xdr:rowOff>82550</xdr:rowOff>
    </xdr:to>
    <xdr:sp macro="" textlink="">
      <xdr:nvSpPr>
        <xdr:cNvPr id="5" name="Graphic 23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SpPr>
          <a:spLocks/>
        </xdr:cNvSpPr>
      </xdr:nvSpPr>
      <xdr:spPr>
        <a:xfrm>
          <a:off x="1114425" y="290607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167</xdr:row>
      <xdr:rowOff>161925</xdr:rowOff>
    </xdr:from>
    <xdr:to>
      <xdr:col>1</xdr:col>
      <xdr:colOff>207645</xdr:colOff>
      <xdr:row>167</xdr:row>
      <xdr:rowOff>167005</xdr:rowOff>
    </xdr:to>
    <xdr:sp macro="" textlink="">
      <xdr:nvSpPr>
        <xdr:cNvPr id="6" name="Graphic 28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>
          <a:spLocks/>
        </xdr:cNvSpPr>
      </xdr:nvSpPr>
      <xdr:spPr>
        <a:xfrm>
          <a:off x="1114425" y="29803725"/>
          <a:ext cx="17145" cy="5080"/>
        </a:xfrm>
        <a:custGeom>
          <a:avLst/>
          <a:gdLst/>
          <a:ahLst/>
          <a:cxnLst/>
          <a:rect l="l" t="t" r="r" b="b"/>
          <a:pathLst>
            <a:path w="17145" h="5080">
              <a:moveTo>
                <a:pt x="16764" y="4572"/>
              </a:moveTo>
              <a:lnTo>
                <a:pt x="12192" y="4572"/>
              </a:lnTo>
              <a:lnTo>
                <a:pt x="12192" y="0"/>
              </a:lnTo>
              <a:lnTo>
                <a:pt x="16764" y="0"/>
              </a:lnTo>
              <a:lnTo>
                <a:pt x="16764" y="4572"/>
              </a:lnTo>
              <a:close/>
            </a:path>
            <a:path w="17145" h="5080">
              <a:moveTo>
                <a:pt x="6096" y="4572"/>
              </a:moveTo>
              <a:lnTo>
                <a:pt x="0" y="4572"/>
              </a:lnTo>
              <a:lnTo>
                <a:pt x="0" y="0"/>
              </a:lnTo>
              <a:lnTo>
                <a:pt x="6096" y="0"/>
              </a:lnTo>
              <a:lnTo>
                <a:pt x="6096" y="4572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168</xdr:row>
      <xdr:rowOff>180975</xdr:rowOff>
    </xdr:from>
    <xdr:to>
      <xdr:col>1</xdr:col>
      <xdr:colOff>207645</xdr:colOff>
      <xdr:row>168</xdr:row>
      <xdr:rowOff>187325</xdr:rowOff>
    </xdr:to>
    <xdr:sp macro="" textlink="">
      <xdr:nvSpPr>
        <xdr:cNvPr id="7" name="Graphic 29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>
          <a:spLocks/>
        </xdr:cNvSpPr>
      </xdr:nvSpPr>
      <xdr:spPr>
        <a:xfrm>
          <a:off x="1114425" y="3004185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170</xdr:row>
      <xdr:rowOff>9525</xdr:rowOff>
    </xdr:from>
    <xdr:to>
      <xdr:col>1</xdr:col>
      <xdr:colOff>207645</xdr:colOff>
      <xdr:row>170</xdr:row>
      <xdr:rowOff>26670</xdr:rowOff>
    </xdr:to>
    <xdr:sp macro="" textlink="">
      <xdr:nvSpPr>
        <xdr:cNvPr id="8" name="Graphic 30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>
          <a:spLocks/>
        </xdr:cNvSpPr>
      </xdr:nvSpPr>
      <xdr:spPr>
        <a:xfrm>
          <a:off x="1114425" y="30165675"/>
          <a:ext cx="17145" cy="17145"/>
        </a:xfrm>
        <a:custGeom>
          <a:avLst/>
          <a:gdLst/>
          <a:ahLst/>
          <a:cxnLst/>
          <a:rect l="l" t="t" r="r" b="b"/>
          <a:pathLst>
            <a:path w="17145" h="17145">
              <a:moveTo>
                <a:pt x="16764" y="16764"/>
              </a:moveTo>
              <a:lnTo>
                <a:pt x="0" y="16764"/>
              </a:lnTo>
              <a:lnTo>
                <a:pt x="0" y="12192"/>
              </a:lnTo>
              <a:lnTo>
                <a:pt x="16764" y="12192"/>
              </a:lnTo>
              <a:lnTo>
                <a:pt x="16764" y="16764"/>
              </a:lnTo>
              <a:close/>
            </a:path>
            <a:path w="17145" h="17145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163</xdr:row>
      <xdr:rowOff>123825</xdr:rowOff>
    </xdr:from>
    <xdr:to>
      <xdr:col>1</xdr:col>
      <xdr:colOff>207645</xdr:colOff>
      <xdr:row>163</xdr:row>
      <xdr:rowOff>130175</xdr:rowOff>
    </xdr:to>
    <xdr:sp macro="" textlink="">
      <xdr:nvSpPr>
        <xdr:cNvPr id="9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9203650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164</xdr:row>
      <xdr:rowOff>142875</xdr:rowOff>
    </xdr:from>
    <xdr:to>
      <xdr:col>1</xdr:col>
      <xdr:colOff>207645</xdr:colOff>
      <xdr:row>164</xdr:row>
      <xdr:rowOff>149225</xdr:rowOff>
    </xdr:to>
    <xdr:sp macro="" textlink="">
      <xdr:nvSpPr>
        <xdr:cNvPr id="10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9203650"/>
          <a:ext cx="17145" cy="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165</xdr:row>
      <xdr:rowOff>123825</xdr:rowOff>
    </xdr:from>
    <xdr:to>
      <xdr:col>1</xdr:col>
      <xdr:colOff>207645</xdr:colOff>
      <xdr:row>165</xdr:row>
      <xdr:rowOff>130175</xdr:rowOff>
    </xdr:to>
    <xdr:sp macro="" textlink="">
      <xdr:nvSpPr>
        <xdr:cNvPr id="11" name="Graphic 26">
          <a:extLst>
            <a:ext uri="{FF2B5EF4-FFF2-40B4-BE49-F238E27FC236}">
              <a16:creationId xmlns="" xmlns:a16="http://schemas.microsoft.com/office/drawing/2014/main" id="{762E2BF0-ACA5-4BEA-8123-4FA0BED552B1}"/>
            </a:ext>
          </a:extLst>
        </xdr:cNvPr>
        <xdr:cNvSpPr>
          <a:spLocks/>
        </xdr:cNvSpPr>
      </xdr:nvSpPr>
      <xdr:spPr>
        <a:xfrm>
          <a:off x="1114425" y="29327475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</xdr:col>
      <xdr:colOff>190500</xdr:colOff>
      <xdr:row>166</xdr:row>
      <xdr:rowOff>142875</xdr:rowOff>
    </xdr:from>
    <xdr:to>
      <xdr:col>1</xdr:col>
      <xdr:colOff>207645</xdr:colOff>
      <xdr:row>166</xdr:row>
      <xdr:rowOff>149225</xdr:rowOff>
    </xdr:to>
    <xdr:sp macro="" textlink="">
      <xdr:nvSpPr>
        <xdr:cNvPr id="12" name="Graphic 27">
          <a:extLst>
            <a:ext uri="{FF2B5EF4-FFF2-40B4-BE49-F238E27FC236}">
              <a16:creationId xmlns="" xmlns:a16="http://schemas.microsoft.com/office/drawing/2014/main" id="{AB2A4A85-7BEA-42C5-A619-5E5678BD8247}"/>
            </a:ext>
          </a:extLst>
        </xdr:cNvPr>
        <xdr:cNvSpPr>
          <a:spLocks/>
        </xdr:cNvSpPr>
      </xdr:nvSpPr>
      <xdr:spPr>
        <a:xfrm>
          <a:off x="1114425" y="29565600"/>
          <a:ext cx="17145" cy="6350"/>
        </a:xfrm>
        <a:custGeom>
          <a:avLst/>
          <a:gdLst/>
          <a:ahLst/>
          <a:cxnLst/>
          <a:rect l="l" t="t" r="r" b="b"/>
          <a:pathLst>
            <a:path w="17145" h="6350">
              <a:moveTo>
                <a:pt x="16764" y="6096"/>
              </a:moveTo>
              <a:lnTo>
                <a:pt x="12192" y="6096"/>
              </a:lnTo>
              <a:lnTo>
                <a:pt x="12192" y="0"/>
              </a:lnTo>
              <a:lnTo>
                <a:pt x="16764" y="0"/>
              </a:lnTo>
              <a:lnTo>
                <a:pt x="16764" y="6096"/>
              </a:lnTo>
              <a:close/>
            </a:path>
            <a:path w="17145" h="6350">
              <a:moveTo>
                <a:pt x="6096" y="6096"/>
              </a:moveTo>
              <a:lnTo>
                <a:pt x="0" y="6096"/>
              </a:lnTo>
              <a:lnTo>
                <a:pt x="0" y="0"/>
              </a:lnTo>
              <a:lnTo>
                <a:pt x="6096" y="0"/>
              </a:lnTo>
              <a:lnTo>
                <a:pt x="6096" y="6096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&#193;NG%203/BC%20NG&#192;Y/BCKQSX%2050X50%20DC2%201.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H&#193;NG%203/BC%20TH&#193;NG%203/Ti&#234;u%20hao%20v&#7853;t%20t&#432;%20%20DC2%20T3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H&#193;NG%204/b&#225;o%20c&#225;o%20th&#225;ng%204/Ti&#234;u%20hao%20v&#7853;t%20t&#432;%20%20DC2%20T4.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h&#225;ng%205/BC%20TH&#193;NG%205/Ti&#234;u%20hao%20v&#7853;t%20t&#432;%20%20DC2%20TH5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h&#225;ng%205/BC%20TH&#193;NG%205/Ti&#234;u%20hao%20v&#7853;t%20t&#432;%20%20DC2%20Th&#225;ng%205.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h&#225;ng%207/BC%20TH&#193;NG%207/Ti&#234;u%20hao%20v&#7853;t%20t&#432;%20%20DC2%20Th&#225;ng7.202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h&#225;ng%207/BC%20TH&#193;NG%207/Ti&#234;u%20hao%20v&#7853;t%20t&#432;%20%20DC2%20Th&#225;ng%2007.2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h&#225;ng%208/bc%20th&#225;ng%208/Ti&#234;u%20hao%20v&#7853;t%20t&#432;%20%20DC2%20Th&#225;ng%2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"/>
      <sheetName val="2.3"/>
      <sheetName val="3.3"/>
      <sheetName val="4.3"/>
      <sheetName val="5.3"/>
      <sheetName val="6.3"/>
      <sheetName val="7.3"/>
      <sheetName val="8.3"/>
      <sheetName val="9.3"/>
      <sheetName val="10.3"/>
      <sheetName val="11.3"/>
      <sheetName val="12.3"/>
      <sheetName val="13.3"/>
      <sheetName val="14.3"/>
      <sheetName val="15.3"/>
      <sheetName val="16.3"/>
      <sheetName val="17.3"/>
      <sheetName val="18.3"/>
      <sheetName val="19.3"/>
      <sheetName val="20.3"/>
      <sheetName val="21.3"/>
      <sheetName val="22.3"/>
      <sheetName val="23.3"/>
      <sheetName val="24.3"/>
      <sheetName val="25.3"/>
      <sheetName val="26.3"/>
      <sheetName val="27.3"/>
      <sheetName val="28.3"/>
      <sheetName val="29.3"/>
      <sheetName val="30.3"/>
      <sheetName val="3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1">
          <cell r="J71">
            <v>313.5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">
          <cell r="J21">
            <v>0</v>
          </cell>
        </row>
      </sheetData>
      <sheetData sheetId="30" refreshError="1">
        <row r="21">
          <cell r="F21">
            <v>421167</v>
          </cell>
          <cell r="I21">
            <v>413131.5</v>
          </cell>
          <cell r="K21">
            <v>2607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5N"/>
      <sheetName val="15"/>
      <sheetName val="1T GIAO MEN- Tr"/>
      <sheetName val="T3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>
        <row r="24">
          <cell r="D24">
            <v>233358</v>
          </cell>
          <cell r="F24">
            <v>31834.5</v>
          </cell>
          <cell r="H24">
            <v>30355.5</v>
          </cell>
          <cell r="J24">
            <v>54442.5</v>
          </cell>
          <cell r="L24">
            <v>45324</v>
          </cell>
        </row>
        <row r="26">
          <cell r="D26">
            <v>1960.5</v>
          </cell>
          <cell r="F26">
            <v>106.5</v>
          </cell>
          <cell r="H26">
            <v>58.5</v>
          </cell>
          <cell r="J26">
            <v>246</v>
          </cell>
          <cell r="L26">
            <v>171</v>
          </cell>
        </row>
        <row r="31">
          <cell r="D31">
            <v>17817</v>
          </cell>
        </row>
        <row r="33">
          <cell r="D33">
            <v>64.5</v>
          </cell>
        </row>
        <row r="70">
          <cell r="I70">
            <v>322644.74544861336</v>
          </cell>
        </row>
        <row r="77">
          <cell r="I77">
            <v>37876.804241435566</v>
          </cell>
        </row>
        <row r="79">
          <cell r="I79">
            <v>8886791.9800000004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5"/>
      <sheetName val="1T GIAO MEN- Tr"/>
      <sheetName val="T4"/>
      <sheetName val="T3"/>
      <sheetName val="15 GIAO MEN- Tr"/>
      <sheetName val="Sheet1"/>
      <sheetName val="XƯƠNG"/>
    </sheetNames>
    <sheetDataSet>
      <sheetData sheetId="0" refreshError="1"/>
      <sheetData sheetId="1" refreshError="1"/>
      <sheetData sheetId="2" refreshError="1"/>
      <sheetData sheetId="3" refreshError="1">
        <row r="24">
          <cell r="D24">
            <v>78493.5</v>
          </cell>
          <cell r="F24">
            <v>9565.5</v>
          </cell>
          <cell r="H24">
            <v>23089.5</v>
          </cell>
          <cell r="J24">
            <v>25012.5</v>
          </cell>
          <cell r="L24">
            <v>26017.5</v>
          </cell>
        </row>
        <row r="26">
          <cell r="D26">
            <v>409.5</v>
          </cell>
          <cell r="F26">
            <v>91.5</v>
          </cell>
          <cell r="H26">
            <v>67.5</v>
          </cell>
          <cell r="J26">
            <v>331.5</v>
          </cell>
          <cell r="L26">
            <v>147</v>
          </cell>
        </row>
        <row r="31">
          <cell r="D31">
            <v>13810.5</v>
          </cell>
          <cell r="F31">
            <v>15009</v>
          </cell>
          <cell r="H31">
            <v>16030.5</v>
          </cell>
        </row>
        <row r="33">
          <cell r="D33">
            <v>30</v>
          </cell>
          <cell r="F33">
            <v>54</v>
          </cell>
          <cell r="H33">
            <v>84</v>
          </cell>
        </row>
        <row r="35">
          <cell r="J35">
            <v>729</v>
          </cell>
        </row>
        <row r="39">
          <cell r="D39">
            <v>25628.799999999999</v>
          </cell>
          <cell r="F39">
            <v>9072</v>
          </cell>
          <cell r="H39">
            <v>347.2</v>
          </cell>
          <cell r="J39">
            <v>56257.600000000013</v>
          </cell>
          <cell r="L39">
            <v>44201.599999999999</v>
          </cell>
        </row>
        <row r="41">
          <cell r="D41">
            <v>835.2</v>
          </cell>
          <cell r="F41">
            <v>270.39999999999998</v>
          </cell>
          <cell r="H41">
            <v>6.4</v>
          </cell>
          <cell r="J41">
            <v>13191.999999999995</v>
          </cell>
          <cell r="L41">
            <v>2344</v>
          </cell>
        </row>
        <row r="46">
          <cell r="D46">
            <v>5638.4</v>
          </cell>
          <cell r="F46">
            <v>5236.7999999999993</v>
          </cell>
          <cell r="H46">
            <v>36112</v>
          </cell>
          <cell r="J46">
            <v>24347.200000000001</v>
          </cell>
        </row>
        <row r="48">
          <cell r="D48">
            <v>417.59999999999997</v>
          </cell>
          <cell r="F48">
            <v>284.8</v>
          </cell>
          <cell r="J48">
            <v>542.40000000000009</v>
          </cell>
        </row>
        <row r="86">
          <cell r="I86">
            <v>4448808.0000000009</v>
          </cell>
        </row>
        <row r="121">
          <cell r="I121">
            <v>4534018.3499999996</v>
          </cell>
        </row>
        <row r="187">
          <cell r="I187">
            <v>51925.984999999993</v>
          </cell>
        </row>
        <row r="202">
          <cell r="I202">
            <v>101747.198</v>
          </cell>
        </row>
        <row r="290">
          <cell r="I290">
            <v>19550.32</v>
          </cell>
        </row>
        <row r="314">
          <cell r="I314">
            <v>111551.46700000002</v>
          </cell>
        </row>
        <row r="324">
          <cell r="I324">
            <v>24610.799999999999</v>
          </cell>
        </row>
        <row r="336">
          <cell r="I336">
            <v>8575</v>
          </cell>
        </row>
        <row r="337">
          <cell r="I337">
            <v>250</v>
          </cell>
        </row>
        <row r="340">
          <cell r="I340">
            <v>13250</v>
          </cell>
        </row>
        <row r="341">
          <cell r="I341">
            <v>550</v>
          </cell>
        </row>
        <row r="361">
          <cell r="I361">
            <v>369878</v>
          </cell>
        </row>
        <row r="364">
          <cell r="I364">
            <v>397372.5</v>
          </cell>
        </row>
        <row r="412">
          <cell r="I412">
            <v>2975</v>
          </cell>
        </row>
        <row r="413">
          <cell r="I413">
            <v>2330</v>
          </cell>
        </row>
        <row r="415">
          <cell r="I415">
            <v>8700</v>
          </cell>
        </row>
        <row r="418">
          <cell r="I418">
            <v>2574</v>
          </cell>
        </row>
        <row r="419">
          <cell r="I419">
            <v>1560</v>
          </cell>
        </row>
        <row r="424">
          <cell r="P424">
            <v>139238</v>
          </cell>
        </row>
        <row r="432">
          <cell r="I432">
            <v>5515</v>
          </cell>
        </row>
        <row r="433">
          <cell r="I433">
            <v>3800</v>
          </cell>
        </row>
        <row r="435">
          <cell r="I435">
            <v>14300</v>
          </cell>
        </row>
        <row r="437">
          <cell r="I437">
            <v>2394</v>
          </cell>
        </row>
        <row r="438">
          <cell r="I438">
            <v>1800</v>
          </cell>
        </row>
        <row r="443">
          <cell r="O443">
            <v>140950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T GIAO MEN- Tr"/>
      <sheetName val="15.5"/>
      <sheetName val="T3"/>
      <sheetName val="BC DC2 05.2026"/>
      <sheetName val="T5.2026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/>
      <sheetData sheetId="5">
        <row r="24">
          <cell r="D24">
            <v>75995.200000000026</v>
          </cell>
          <cell r="F24">
            <v>3136</v>
          </cell>
          <cell r="H24">
            <v>12752</v>
          </cell>
          <cell r="N24">
            <v>4972.8</v>
          </cell>
          <cell r="P24">
            <v>8035.2000000000007</v>
          </cell>
        </row>
        <row r="26">
          <cell r="D26">
            <v>4536.0000000000009</v>
          </cell>
          <cell r="F26">
            <v>128</v>
          </cell>
          <cell r="H26">
            <v>920</v>
          </cell>
          <cell r="N26">
            <v>406.4</v>
          </cell>
          <cell r="P26">
            <v>387.20000000000005</v>
          </cell>
        </row>
        <row r="31">
          <cell r="D31">
            <v>13889.6</v>
          </cell>
          <cell r="F31">
            <v>10619.2</v>
          </cell>
          <cell r="H31">
            <v>13279.999999999998</v>
          </cell>
        </row>
        <row r="33">
          <cell r="D33">
            <v>475.19999999999993</v>
          </cell>
          <cell r="F33">
            <v>454.4</v>
          </cell>
          <cell r="H33">
            <v>667.19999999999993</v>
          </cell>
        </row>
        <row r="39">
          <cell r="D39">
            <v>8750.4</v>
          </cell>
          <cell r="F39">
            <v>112126.39999999999</v>
          </cell>
          <cell r="H39">
            <v>62278.400000000016</v>
          </cell>
          <cell r="N39">
            <v>43427.200000000004</v>
          </cell>
          <cell r="P39">
            <v>438.4</v>
          </cell>
        </row>
        <row r="41">
          <cell r="D41">
            <v>665.60000000000014</v>
          </cell>
          <cell r="F41">
            <v>9668.7999999999993</v>
          </cell>
          <cell r="H41">
            <v>3383.9999999999995</v>
          </cell>
          <cell r="N41">
            <v>0</v>
          </cell>
          <cell r="P41">
            <v>80</v>
          </cell>
        </row>
        <row r="46">
          <cell r="D46">
            <v>46681.599999999999</v>
          </cell>
          <cell r="F46">
            <v>14904</v>
          </cell>
          <cell r="H46">
            <v>3572.8</v>
          </cell>
        </row>
        <row r="48">
          <cell r="D48">
            <v>2129.6</v>
          </cell>
          <cell r="F48">
            <v>824.00000000000011</v>
          </cell>
          <cell r="H48">
            <v>145.6</v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T GIAO MEN- Tr"/>
      <sheetName val="15.5"/>
      <sheetName val="T3"/>
      <sheetName val="BC DC2 05.2026"/>
      <sheetName val="T5.2026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/>
      <sheetData sheetId="5">
        <row r="321">
          <cell r="I321">
            <v>136882.20000000001</v>
          </cell>
        </row>
      </sheetData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T GIAO MEN- Tr"/>
      <sheetName val="15.5"/>
      <sheetName val="T3"/>
      <sheetName val="BC DC2 06.2026"/>
      <sheetName val="T6.2026"/>
      <sheetName val="T7.2026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/>
      <sheetData sheetId="5"/>
      <sheetData sheetId="6">
        <row r="84">
          <cell r="I84">
            <v>9090566</v>
          </cell>
        </row>
        <row r="110">
          <cell r="I110">
            <v>116195.38419999999</v>
          </cell>
        </row>
        <row r="213">
          <cell r="I213">
            <v>69.715800000000002</v>
          </cell>
        </row>
        <row r="225">
          <cell r="I225">
            <v>39208.400000000001</v>
          </cell>
        </row>
        <row r="237">
          <cell r="I237">
            <v>99.999999999999986</v>
          </cell>
        </row>
        <row r="273">
          <cell r="I273">
            <v>52160.999999999993</v>
          </cell>
        </row>
        <row r="327">
          <cell r="R327">
            <v>293123</v>
          </cell>
        </row>
      </sheetData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T GIAO MEN- Tr"/>
      <sheetName val="15.5"/>
      <sheetName val="T3"/>
      <sheetName val="BC DC2 06.2026"/>
      <sheetName val="T6.2026"/>
      <sheetName val="T7.2026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D9">
            <v>12798</v>
          </cell>
        </row>
        <row r="263">
          <cell r="I263">
            <v>20725</v>
          </cell>
        </row>
        <row r="287">
          <cell r="I287">
            <v>732336</v>
          </cell>
        </row>
        <row r="291">
          <cell r="I291">
            <v>8490</v>
          </cell>
        </row>
        <row r="296">
          <cell r="I296">
            <v>18300</v>
          </cell>
        </row>
        <row r="298">
          <cell r="I298">
            <v>5211</v>
          </cell>
        </row>
        <row r="299">
          <cell r="I299">
            <v>3320</v>
          </cell>
        </row>
        <row r="302">
          <cell r="R302">
            <v>4780</v>
          </cell>
        </row>
      </sheetData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.11.24 "/>
      <sheetName val="1T GIAO MEN- Tr"/>
      <sheetName val="15.5"/>
      <sheetName val="T3"/>
      <sheetName val="BC DC2 06.2026"/>
      <sheetName val="T6.2026"/>
      <sheetName val="BC DC2 8.2026"/>
      <sheetName val="T7.2026"/>
      <sheetName val="T8.2026"/>
      <sheetName val="15 GIAO MEN- Tr"/>
      <sheetName val="Sheet1"/>
      <sheetName val="XƯƠ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01">
          <cell r="I301">
            <v>350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1"/>
  <sheetViews>
    <sheetView zoomScale="90" zoomScaleNormal="90" workbookViewId="0">
      <selection activeCell="A152" sqref="A136:XFD152"/>
    </sheetView>
  </sheetViews>
  <sheetFormatPr defaultRowHeight="15" x14ac:dyDescent="0.25"/>
  <cols>
    <col min="1" max="1" width="13.85546875" customWidth="1"/>
    <col min="2" max="2" width="8.28515625" customWidth="1"/>
    <col min="3" max="3" width="13" customWidth="1"/>
    <col min="4" max="4" width="14.7109375" customWidth="1"/>
    <col min="5" max="5" width="15.140625" customWidth="1"/>
    <col min="6" max="6" width="13.5703125" customWidth="1"/>
    <col min="7" max="7" width="14.7109375" customWidth="1"/>
    <col min="8" max="8" width="10.7109375" style="5" customWidth="1"/>
    <col min="9" max="9" width="12.5703125" style="6" customWidth="1"/>
    <col min="10" max="10" width="11.5703125" customWidth="1"/>
    <col min="11" max="11" width="10.140625" customWidth="1"/>
    <col min="12" max="12" width="10" customWidth="1"/>
    <col min="13" max="13" width="12.425781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5.5" customHeight="1" x14ac:dyDescent="0.25">
      <c r="A4" s="521" t="s">
        <v>248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4.5" customHeight="1" x14ac:dyDescent="0.25"/>
    <row r="6" spans="1:16" ht="19.5" customHeight="1" x14ac:dyDescent="0.25">
      <c r="A6" s="146" t="s">
        <v>249</v>
      </c>
    </row>
    <row r="7" spans="1:16" ht="19.5" hidden="1" customHeight="1" x14ac:dyDescent="0.25">
      <c r="A7" s="146" t="s">
        <v>4</v>
      </c>
      <c r="B7" s="192"/>
    </row>
    <row r="8" spans="1:16" ht="19.5" customHeight="1" x14ac:dyDescent="0.25">
      <c r="A8" s="146" t="s">
        <v>5</v>
      </c>
    </row>
    <row r="9" spans="1:16" ht="30.75" customHeight="1" x14ac:dyDescent="0.25">
      <c r="A9" s="415" t="s">
        <v>6</v>
      </c>
      <c r="B9" s="415"/>
      <c r="C9" s="193" t="s">
        <v>7</v>
      </c>
      <c r="D9" s="415" t="s">
        <v>8</v>
      </c>
      <c r="E9" s="415"/>
      <c r="F9" s="415"/>
      <c r="G9" s="522" t="s">
        <v>9</v>
      </c>
      <c r="H9" s="416" t="s">
        <v>10</v>
      </c>
      <c r="I9" s="194" t="s">
        <v>11</v>
      </c>
      <c r="J9" s="522" t="s">
        <v>12</v>
      </c>
      <c r="K9" s="193" t="s">
        <v>13</v>
      </c>
      <c r="L9" s="193" t="s">
        <v>14</v>
      </c>
      <c r="M9" s="193" t="s">
        <v>15</v>
      </c>
    </row>
    <row r="10" spans="1:16" ht="18.75" customHeight="1" x14ac:dyDescent="0.25">
      <c r="A10" s="193" t="s">
        <v>16</v>
      </c>
      <c r="B10" s="193" t="s">
        <v>17</v>
      </c>
      <c r="C10" s="195"/>
      <c r="D10" s="193" t="s">
        <v>18</v>
      </c>
      <c r="E10" s="193" t="s">
        <v>19</v>
      </c>
      <c r="F10" s="193" t="s">
        <v>20</v>
      </c>
      <c r="G10" s="523"/>
      <c r="H10" s="416"/>
      <c r="I10" s="194" t="s">
        <v>21</v>
      </c>
      <c r="J10" s="523"/>
      <c r="K10" s="193" t="s">
        <v>22</v>
      </c>
      <c r="L10" s="193" t="s">
        <v>23</v>
      </c>
      <c r="M10" s="193" t="s">
        <v>24</v>
      </c>
    </row>
    <row r="11" spans="1:16" s="18" customFormat="1" ht="18" customHeight="1" x14ac:dyDescent="0.25">
      <c r="A11" s="509" t="s">
        <v>169</v>
      </c>
      <c r="B11" s="196" t="s">
        <v>21</v>
      </c>
      <c r="C11" s="197">
        <f>+(G11*100)/98</f>
        <v>229821.42857142858</v>
      </c>
      <c r="D11" s="197">
        <f>+D12*$G$11/100</f>
        <v>202702.5</v>
      </c>
      <c r="E11" s="197">
        <f t="shared" ref="E11:F11" si="0">+E12*$G$11/100</f>
        <v>15765.75</v>
      </c>
      <c r="F11" s="197">
        <f t="shared" si="0"/>
        <v>6756.75</v>
      </c>
      <c r="G11" s="198">
        <f>+H11*I11</f>
        <v>225225</v>
      </c>
      <c r="H11" s="199">
        <v>15</v>
      </c>
      <c r="I11" s="200">
        <v>15015</v>
      </c>
      <c r="J11" s="196"/>
      <c r="K11" s="196"/>
      <c r="L11" s="196"/>
      <c r="M11" s="196"/>
      <c r="O11" s="19"/>
    </row>
    <row r="12" spans="1:16" s="18" customFormat="1" ht="18" customHeight="1" x14ac:dyDescent="0.25">
      <c r="A12" s="509"/>
      <c r="B12" s="196" t="s">
        <v>26</v>
      </c>
      <c r="C12" s="201"/>
      <c r="D12" s="202">
        <v>90</v>
      </c>
      <c r="E12" s="202">
        <v>7</v>
      </c>
      <c r="F12" s="202">
        <v>3</v>
      </c>
      <c r="G12" s="203">
        <v>100</v>
      </c>
      <c r="H12" s="204"/>
      <c r="I12" s="205"/>
      <c r="J12" s="203">
        <v>98</v>
      </c>
      <c r="K12" s="516">
        <f>100-J12</f>
        <v>2</v>
      </c>
      <c r="L12" s="516"/>
      <c r="M12" s="206">
        <v>40</v>
      </c>
      <c r="O12" s="19"/>
      <c r="P12" s="19"/>
    </row>
    <row r="13" spans="1:16" s="18" customFormat="1" ht="18" customHeight="1" x14ac:dyDescent="0.25">
      <c r="A13" s="517" t="s">
        <v>170</v>
      </c>
      <c r="B13" s="196" t="s">
        <v>21</v>
      </c>
      <c r="C13" s="204">
        <v>220975</v>
      </c>
      <c r="D13" s="203">
        <v>209372.79999999999</v>
      </c>
      <c r="E13" s="207">
        <v>0</v>
      </c>
      <c r="F13" s="207">
        <v>10566.400000000001</v>
      </c>
      <c r="G13" s="203">
        <f>+SUM(D13:F13)</f>
        <v>219939.19999999998</v>
      </c>
      <c r="H13" s="204">
        <v>15</v>
      </c>
      <c r="I13" s="208">
        <f>+G13/H13</f>
        <v>14662.613333333333</v>
      </c>
      <c r="J13" s="196"/>
      <c r="K13" s="209">
        <v>704</v>
      </c>
      <c r="L13" s="209">
        <v>962.60000000000014</v>
      </c>
      <c r="M13" s="196"/>
      <c r="N13" s="28"/>
      <c r="O13" s="19"/>
      <c r="P13" s="19"/>
    </row>
    <row r="14" spans="1:16" s="18" customFormat="1" ht="18" customHeight="1" x14ac:dyDescent="0.25">
      <c r="A14" s="518"/>
      <c r="B14" s="196" t="s">
        <v>26</v>
      </c>
      <c r="C14" s="201"/>
      <c r="D14" s="202">
        <f>+D13/G13*100</f>
        <v>95.195763192736905</v>
      </c>
      <c r="E14" s="210">
        <f>+E13/G13*100</f>
        <v>0</v>
      </c>
      <c r="F14" s="210">
        <f>+F13/G13*100</f>
        <v>4.8042368072630994</v>
      </c>
      <c r="G14" s="205">
        <f t="shared" ref="G14" si="1">SUM(D14:F14)</f>
        <v>100</v>
      </c>
      <c r="H14" s="204"/>
      <c r="I14" s="205"/>
      <c r="J14" s="211">
        <f>+G13/C13*100</f>
        <v>99.531259192216311</v>
      </c>
      <c r="K14" s="519">
        <f>100-J14</f>
        <v>0.46874080778368921</v>
      </c>
      <c r="L14" s="515"/>
      <c r="M14" s="212">
        <v>45.533333333333331</v>
      </c>
      <c r="O14" s="28"/>
    </row>
    <row r="15" spans="1:16" s="18" customFormat="1" ht="18" customHeight="1" x14ac:dyDescent="0.25">
      <c r="A15" s="509" t="s">
        <v>171</v>
      </c>
      <c r="B15" s="196" t="s">
        <v>21</v>
      </c>
      <c r="C15" s="203">
        <f>+C13-C11</f>
        <v>-8846.4285714285797</v>
      </c>
      <c r="D15" s="203">
        <f>+D13-D11</f>
        <v>6670.2999999999884</v>
      </c>
      <c r="E15" s="213">
        <f>+(E13-E11)</f>
        <v>-15765.75</v>
      </c>
      <c r="F15" s="207">
        <f>+F13-F11</f>
        <v>3809.6500000000015</v>
      </c>
      <c r="G15" s="203">
        <f>SUM(D15:F15)</f>
        <v>-5285.8000000000102</v>
      </c>
      <c r="H15" s="204"/>
      <c r="I15" s="205"/>
      <c r="J15" s="203"/>
      <c r="K15" s="214"/>
      <c r="L15" s="214"/>
      <c r="M15" s="196"/>
      <c r="N15" s="34"/>
    </row>
    <row r="16" spans="1:16" s="18" customFormat="1" ht="18" customHeight="1" x14ac:dyDescent="0.25">
      <c r="A16" s="509"/>
      <c r="B16" s="196" t="s">
        <v>26</v>
      </c>
      <c r="C16" s="201"/>
      <c r="D16" s="215">
        <f>+D14-D12</f>
        <v>5.195763192736905</v>
      </c>
      <c r="E16" s="216">
        <f>+E14-E12</f>
        <v>-7</v>
      </c>
      <c r="F16" s="217">
        <f>+F14-F12</f>
        <v>1.8042368072630994</v>
      </c>
      <c r="G16" s="205">
        <v>0</v>
      </c>
      <c r="H16" s="204"/>
      <c r="I16" s="205"/>
      <c r="J16" s="196"/>
      <c r="K16" s="214"/>
      <c r="L16" s="214"/>
      <c r="M16" s="196"/>
      <c r="N16" s="34">
        <f>97.5+1.29</f>
        <v>98.79</v>
      </c>
    </row>
    <row r="17" spans="1:15" ht="18" hidden="1" customHeight="1" x14ac:dyDescent="0.25">
      <c r="A17" s="509" t="s">
        <v>169</v>
      </c>
      <c r="B17" s="196" t="s">
        <v>21</v>
      </c>
      <c r="C17" s="197">
        <f>+(G17*100)/98</f>
        <v>0</v>
      </c>
      <c r="D17" s="197">
        <f>+D18*$G$17/100</f>
        <v>0</v>
      </c>
      <c r="E17" s="197">
        <f t="shared" ref="E17:F17" si="2">+E18*$G$17/100</f>
        <v>0</v>
      </c>
      <c r="F17" s="197">
        <f t="shared" si="2"/>
        <v>0</v>
      </c>
      <c r="G17" s="198">
        <f>+H17*I17</f>
        <v>0</v>
      </c>
      <c r="H17" s="199"/>
      <c r="I17" s="200"/>
      <c r="J17" s="205"/>
      <c r="K17" s="214"/>
      <c r="L17" s="214"/>
      <c r="M17" s="196">
        <v>40</v>
      </c>
      <c r="N17" s="34"/>
    </row>
    <row r="18" spans="1:15" ht="18" hidden="1" customHeight="1" x14ac:dyDescent="0.25">
      <c r="A18" s="509"/>
      <c r="B18" s="196" t="s">
        <v>26</v>
      </c>
      <c r="C18" s="201"/>
      <c r="D18" s="202">
        <v>89</v>
      </c>
      <c r="E18" s="202">
        <v>8</v>
      </c>
      <c r="F18" s="202">
        <v>3</v>
      </c>
      <c r="G18" s="203">
        <f>SUM(D18:F18)</f>
        <v>100</v>
      </c>
      <c r="H18" s="204"/>
      <c r="I18" s="200"/>
      <c r="J18" s="202">
        <v>98</v>
      </c>
      <c r="K18" s="520">
        <f>100-J18</f>
        <v>2</v>
      </c>
      <c r="L18" s="520"/>
      <c r="M18" s="196"/>
    </row>
    <row r="19" spans="1:15" ht="18" hidden="1" customHeight="1" x14ac:dyDescent="0.25">
      <c r="A19" s="517" t="s">
        <v>170</v>
      </c>
      <c r="B19" s="196" t="s">
        <v>21</v>
      </c>
      <c r="C19" s="204"/>
      <c r="D19" s="203"/>
      <c r="E19" s="207"/>
      <c r="F19" s="207"/>
      <c r="G19" s="203">
        <f>SUM(D19:F19)</f>
        <v>0</v>
      </c>
      <c r="H19" s="204"/>
      <c r="I19" s="208" t="e">
        <f>+G19/H19</f>
        <v>#DIV/0!</v>
      </c>
      <c r="J19" s="196"/>
      <c r="K19" s="209"/>
      <c r="L19" s="209"/>
      <c r="M19" s="212"/>
      <c r="N19" s="64"/>
      <c r="O19" s="64"/>
    </row>
    <row r="20" spans="1:15" ht="18" hidden="1" customHeight="1" x14ac:dyDescent="0.25">
      <c r="A20" s="518"/>
      <c r="B20" s="196" t="s">
        <v>26</v>
      </c>
      <c r="C20" s="201"/>
      <c r="D20" s="202" t="e">
        <f>+D19/G19*100</f>
        <v>#DIV/0!</v>
      </c>
      <c r="E20" s="210" t="e">
        <f>+E19/G19*100</f>
        <v>#DIV/0!</v>
      </c>
      <c r="F20" s="210" t="e">
        <f>+F19/G19*100</f>
        <v>#DIV/0!</v>
      </c>
      <c r="G20" s="205" t="e">
        <f t="shared" ref="G20:G24" si="3">SUM(D20:F20)</f>
        <v>#DIV/0!</v>
      </c>
      <c r="H20" s="204"/>
      <c r="I20" s="205"/>
      <c r="J20" s="202" t="e">
        <f>+G19/C19*100</f>
        <v>#DIV/0!</v>
      </c>
      <c r="K20" s="516" t="e">
        <f>100-J20</f>
        <v>#DIV/0!</v>
      </c>
      <c r="L20" s="516"/>
      <c r="M20" s="196"/>
      <c r="O20" s="64"/>
    </row>
    <row r="21" spans="1:15" ht="18" hidden="1" customHeight="1" x14ac:dyDescent="0.25">
      <c r="A21" s="509" t="s">
        <v>171</v>
      </c>
      <c r="B21" s="196" t="s">
        <v>21</v>
      </c>
      <c r="C21" s="203">
        <f>+C19-C17</f>
        <v>0</v>
      </c>
      <c r="D21" s="203">
        <f>+D19-D17</f>
        <v>0</v>
      </c>
      <c r="E21" s="213">
        <f>+(E19-E17)</f>
        <v>0</v>
      </c>
      <c r="F21" s="207">
        <f>+F19-F17</f>
        <v>0</v>
      </c>
      <c r="G21" s="203">
        <f>SUM(D21:F21)</f>
        <v>0</v>
      </c>
      <c r="H21" s="204"/>
      <c r="I21" s="205"/>
      <c r="J21" s="218"/>
      <c r="K21" s="214"/>
      <c r="L21" s="214"/>
      <c r="M21" s="196"/>
    </row>
    <row r="22" spans="1:15" ht="18" hidden="1" customHeight="1" x14ac:dyDescent="0.25">
      <c r="A22" s="509"/>
      <c r="B22" s="196" t="s">
        <v>26</v>
      </c>
      <c r="C22" s="201"/>
      <c r="D22" s="215" t="e">
        <f>+D20-D18</f>
        <v>#DIV/0!</v>
      </c>
      <c r="E22" s="213" t="e">
        <f>+(E20-E18)</f>
        <v>#DIV/0!</v>
      </c>
      <c r="F22" s="217" t="e">
        <f>+F20-F18</f>
        <v>#DIV/0!</v>
      </c>
      <c r="G22" s="205">
        <v>0</v>
      </c>
      <c r="H22" s="204"/>
      <c r="I22" s="205"/>
      <c r="J22" s="196"/>
      <c r="K22" s="214"/>
      <c r="L22" s="214"/>
      <c r="M22" s="196"/>
    </row>
    <row r="23" spans="1:15" ht="18" customHeight="1" x14ac:dyDescent="0.25">
      <c r="A23" s="509" t="s">
        <v>250</v>
      </c>
      <c r="B23" s="196" t="s">
        <v>21</v>
      </c>
      <c r="C23" s="203">
        <f>+C11+C17</f>
        <v>229821.42857142858</v>
      </c>
      <c r="D23" s="203">
        <f>+D11+D17</f>
        <v>202702.5</v>
      </c>
      <c r="E23" s="203">
        <f t="shared" ref="E23:F23" si="4">+E11+E17</f>
        <v>15765.75</v>
      </c>
      <c r="F23" s="203">
        <f t="shared" si="4"/>
        <v>6756.75</v>
      </c>
      <c r="G23" s="203">
        <f>SUM(D23:F23)</f>
        <v>225225</v>
      </c>
      <c r="H23" s="203">
        <f>+H11+H17</f>
        <v>15</v>
      </c>
      <c r="I23" s="205">
        <f>+G23/H23</f>
        <v>15015</v>
      </c>
      <c r="J23" s="196"/>
      <c r="K23" s="515"/>
      <c r="L23" s="515"/>
      <c r="M23" s="196"/>
      <c r="O23" s="6"/>
    </row>
    <row r="24" spans="1:15" ht="18" customHeight="1" x14ac:dyDescent="0.25">
      <c r="A24" s="509"/>
      <c r="B24" s="196" t="s">
        <v>26</v>
      </c>
      <c r="C24" s="205"/>
      <c r="D24" s="202">
        <f>+D23/G23*100</f>
        <v>90</v>
      </c>
      <c r="E24" s="210">
        <f>+E23/G23*100</f>
        <v>7.0000000000000009</v>
      </c>
      <c r="F24" s="210">
        <f>+F23/G23*100</f>
        <v>3</v>
      </c>
      <c r="G24" s="219">
        <f t="shared" si="3"/>
        <v>100</v>
      </c>
      <c r="H24" s="204"/>
      <c r="I24" s="205"/>
      <c r="J24" s="203">
        <f>+G23/C23*100</f>
        <v>98</v>
      </c>
      <c r="K24" s="516">
        <f>100-J24</f>
        <v>2</v>
      </c>
      <c r="L24" s="516"/>
      <c r="M24" s="196"/>
    </row>
    <row r="25" spans="1:15" ht="18" customHeight="1" x14ac:dyDescent="0.25">
      <c r="A25" s="415" t="s">
        <v>251</v>
      </c>
      <c r="B25" s="195" t="s">
        <v>21</v>
      </c>
      <c r="C25" s="220">
        <f>+C13+C19</f>
        <v>220975</v>
      </c>
      <c r="D25" s="220">
        <f t="shared" ref="D25:F25" si="5">+D13+D19</f>
        <v>209372.79999999999</v>
      </c>
      <c r="E25" s="220">
        <f t="shared" si="5"/>
        <v>0</v>
      </c>
      <c r="F25" s="220">
        <f t="shared" si="5"/>
        <v>10566.400000000001</v>
      </c>
      <c r="G25" s="220">
        <f>SUM(D25:F25)</f>
        <v>219939.19999999998</v>
      </c>
      <c r="H25" s="221">
        <f>+H13+H19</f>
        <v>15</v>
      </c>
      <c r="I25" s="222">
        <f>+G25/H25</f>
        <v>14662.613333333333</v>
      </c>
      <c r="J25" s="195"/>
      <c r="K25" s="223"/>
      <c r="L25" s="223"/>
      <c r="M25" s="195"/>
    </row>
    <row r="26" spans="1:15" ht="18" customHeight="1" x14ac:dyDescent="0.25">
      <c r="A26" s="415"/>
      <c r="B26" s="195" t="s">
        <v>26</v>
      </c>
      <c r="C26" s="220"/>
      <c r="D26" s="224">
        <f>+D25/G25*100</f>
        <v>95.195763192736905</v>
      </c>
      <c r="E26" s="225">
        <f>+E25/G25*100</f>
        <v>0</v>
      </c>
      <c r="F26" s="225">
        <f>+F25/G25*100</f>
        <v>4.8042368072630994</v>
      </c>
      <c r="G26" s="226">
        <f>SUM(D26:F26)</f>
        <v>100</v>
      </c>
      <c r="H26" s="227"/>
      <c r="I26" s="220"/>
      <c r="J26" s="220">
        <f>+G25/C25*100</f>
        <v>99.531259192216311</v>
      </c>
      <c r="K26" s="513">
        <f>100-J26</f>
        <v>0.46874080778368921</v>
      </c>
      <c r="L26" s="514"/>
      <c r="M26" s="169"/>
    </row>
    <row r="27" spans="1:15" ht="22.5" customHeight="1" x14ac:dyDescent="0.25">
      <c r="A27" s="146" t="s">
        <v>252</v>
      </c>
    </row>
    <row r="28" spans="1:15" ht="21" customHeight="1" x14ac:dyDescent="0.25">
      <c r="A28" s="146" t="s">
        <v>30</v>
      </c>
    </row>
    <row r="29" spans="1:15" ht="21" hidden="1" customHeight="1" x14ac:dyDescent="0.25">
      <c r="A29" s="71" t="s">
        <v>253</v>
      </c>
    </row>
    <row r="30" spans="1:15" s="38" customFormat="1" ht="20.25" hidden="1" customHeight="1" x14ac:dyDescent="0.25">
      <c r="A30" s="415" t="s">
        <v>32</v>
      </c>
      <c r="B30" s="407" t="s">
        <v>33</v>
      </c>
      <c r="C30" s="407"/>
      <c r="D30" s="407"/>
      <c r="E30" s="407"/>
      <c r="F30" s="407"/>
      <c r="G30" s="407"/>
      <c r="H30" s="407"/>
      <c r="I30" s="407"/>
      <c r="J30" s="501" t="s">
        <v>34</v>
      </c>
      <c r="K30" s="502"/>
      <c r="L30" s="415" t="s">
        <v>35</v>
      </c>
      <c r="M30" s="415"/>
    </row>
    <row r="31" spans="1:15" s="38" customFormat="1" ht="20.25" hidden="1" customHeight="1" x14ac:dyDescent="0.25">
      <c r="A31" s="415"/>
      <c r="B31" s="481" t="s">
        <v>18</v>
      </c>
      <c r="C31" s="482"/>
      <c r="D31" s="481" t="s">
        <v>19</v>
      </c>
      <c r="E31" s="482"/>
      <c r="F31" s="481" t="s">
        <v>20</v>
      </c>
      <c r="G31" s="482"/>
      <c r="H31" s="481" t="s">
        <v>36</v>
      </c>
      <c r="I31" s="482"/>
      <c r="J31" s="503"/>
      <c r="K31" s="504"/>
      <c r="L31" s="415"/>
      <c r="M31" s="415"/>
    </row>
    <row r="32" spans="1:15" s="38" customFormat="1" ht="20.25" hidden="1" customHeight="1" x14ac:dyDescent="0.25">
      <c r="A32" s="509" t="s">
        <v>37</v>
      </c>
      <c r="B32" s="496"/>
      <c r="C32" s="497"/>
      <c r="D32" s="496"/>
      <c r="E32" s="497"/>
      <c r="F32" s="496"/>
      <c r="G32" s="497"/>
      <c r="H32" s="510">
        <f>+B32+D32+F32</f>
        <v>0</v>
      </c>
      <c r="I32" s="511"/>
      <c r="J32" s="512"/>
      <c r="K32" s="491"/>
      <c r="L32" s="494"/>
      <c r="M32" s="494"/>
    </row>
    <row r="33" spans="1:13" s="38" customFormat="1" ht="20.25" hidden="1" customHeight="1" x14ac:dyDescent="0.25">
      <c r="A33" s="509"/>
      <c r="B33" s="493" t="e">
        <f>+B32/$H$32*100</f>
        <v>#DIV/0!</v>
      </c>
      <c r="C33" s="475" t="e">
        <f>+C32/C44*100</f>
        <v>#REF!</v>
      </c>
      <c r="D33" s="493" t="e">
        <f t="shared" ref="D33" si="6">+D32/$H$32*100</f>
        <v>#DIV/0!</v>
      </c>
      <c r="E33" s="475" t="e">
        <f>+E32/E44*100</f>
        <v>#REF!</v>
      </c>
      <c r="F33" s="493" t="e">
        <f t="shared" ref="F33" si="7">+F32/$H$32*100</f>
        <v>#DIV/0!</v>
      </c>
      <c r="G33" s="475" t="e">
        <f>+G32/G44*100</f>
        <v>#REF!</v>
      </c>
      <c r="H33" s="493" t="e">
        <f>+H32/$H$32*100</f>
        <v>#DIV/0!</v>
      </c>
      <c r="I33" s="475" t="e">
        <f>+I32/I44*100</f>
        <v>#REF!</v>
      </c>
      <c r="J33" s="490" t="e">
        <f>+H32/$H$44*100</f>
        <v>#DIV/0!</v>
      </c>
      <c r="K33" s="491"/>
      <c r="L33" s="494"/>
      <c r="M33" s="494"/>
    </row>
    <row r="34" spans="1:13" s="38" customFormat="1" ht="20.25" hidden="1" customHeight="1" x14ac:dyDescent="0.25">
      <c r="A34" s="505" t="s">
        <v>38</v>
      </c>
      <c r="B34" s="496"/>
      <c r="C34" s="497"/>
      <c r="D34" s="496"/>
      <c r="E34" s="497"/>
      <c r="F34" s="496"/>
      <c r="G34" s="497"/>
      <c r="H34" s="498">
        <f>+B34+D34+F34</f>
        <v>0</v>
      </c>
      <c r="I34" s="499"/>
      <c r="J34" s="490"/>
      <c r="K34" s="491"/>
      <c r="L34" s="494"/>
      <c r="M34" s="494"/>
    </row>
    <row r="35" spans="1:13" s="38" customFormat="1" ht="20.25" hidden="1" customHeight="1" x14ac:dyDescent="0.25">
      <c r="A35" s="506"/>
      <c r="B35" s="493" t="e">
        <f>+B34/$H$34*100</f>
        <v>#DIV/0!</v>
      </c>
      <c r="C35" s="475" t="e">
        <f>+C34/C44*100</f>
        <v>#REF!</v>
      </c>
      <c r="D35" s="493" t="e">
        <f t="shared" ref="D35" si="8">+D34/$H$34*100</f>
        <v>#DIV/0!</v>
      </c>
      <c r="E35" s="475" t="e">
        <f>+E34/E44*100</f>
        <v>#REF!</v>
      </c>
      <c r="F35" s="493" t="e">
        <f t="shared" ref="F35" si="9">+F34/$H$34*100</f>
        <v>#DIV/0!</v>
      </c>
      <c r="G35" s="475" t="e">
        <f>+G34/G44*100</f>
        <v>#REF!</v>
      </c>
      <c r="H35" s="493" t="e">
        <f t="shared" ref="H35" si="10">+H34/$H$34*100</f>
        <v>#DIV/0!</v>
      </c>
      <c r="I35" s="475" t="e">
        <f>+I34/I44*100</f>
        <v>#REF!</v>
      </c>
      <c r="J35" s="490" t="e">
        <f>+H34/$H$44*100</f>
        <v>#DIV/0!</v>
      </c>
      <c r="K35" s="491"/>
      <c r="L35" s="494"/>
      <c r="M35" s="494"/>
    </row>
    <row r="36" spans="1:13" s="38" customFormat="1" ht="20.25" hidden="1" customHeight="1" x14ac:dyDescent="0.25">
      <c r="A36" s="509" t="s">
        <v>254</v>
      </c>
      <c r="B36" s="496"/>
      <c r="C36" s="497"/>
      <c r="D36" s="496"/>
      <c r="E36" s="497"/>
      <c r="F36" s="496"/>
      <c r="G36" s="497"/>
      <c r="H36" s="498">
        <f>+B36+D36+F36</f>
        <v>0</v>
      </c>
      <c r="I36" s="499"/>
      <c r="J36" s="490"/>
      <c r="K36" s="491"/>
      <c r="L36" s="494"/>
      <c r="M36" s="494"/>
    </row>
    <row r="37" spans="1:13" s="38" customFormat="1" ht="20.25" hidden="1" customHeight="1" x14ac:dyDescent="0.25">
      <c r="A37" s="509"/>
      <c r="B37" s="493" t="e">
        <f>+B36/$H$36*100</f>
        <v>#DIV/0!</v>
      </c>
      <c r="C37" s="475"/>
      <c r="D37" s="493" t="e">
        <f t="shared" ref="D37" si="11">+D36/$H$36*100</f>
        <v>#DIV/0!</v>
      </c>
      <c r="E37" s="475"/>
      <c r="F37" s="493" t="e">
        <f>+F36/$H$36*100</f>
        <v>#DIV/0!</v>
      </c>
      <c r="G37" s="475"/>
      <c r="H37" s="493" t="e">
        <f t="shared" ref="H37" si="12">+H36/$H$36*100</f>
        <v>#DIV/0!</v>
      </c>
      <c r="I37" s="475"/>
      <c r="J37" s="490" t="e">
        <f>+H36/$H$44*100</f>
        <v>#DIV/0!</v>
      </c>
      <c r="K37" s="491"/>
      <c r="L37" s="494"/>
      <c r="M37" s="494"/>
    </row>
    <row r="38" spans="1:13" s="38" customFormat="1" ht="20.25" hidden="1" customHeight="1" x14ac:dyDescent="0.25">
      <c r="A38" s="505" t="s">
        <v>40</v>
      </c>
      <c r="B38" s="496"/>
      <c r="C38" s="497"/>
      <c r="D38" s="496"/>
      <c r="E38" s="497"/>
      <c r="F38" s="496"/>
      <c r="G38" s="497"/>
      <c r="H38" s="498">
        <f>+B38+D38+F38</f>
        <v>0</v>
      </c>
      <c r="I38" s="499"/>
      <c r="J38" s="490"/>
      <c r="K38" s="491"/>
      <c r="L38" s="494"/>
      <c r="M38" s="494"/>
    </row>
    <row r="39" spans="1:13" s="38" customFormat="1" ht="20.25" hidden="1" customHeight="1" x14ac:dyDescent="0.25">
      <c r="A39" s="506"/>
      <c r="B39" s="507" t="e">
        <f>+B38/$H$38*100</f>
        <v>#DIV/0!</v>
      </c>
      <c r="C39" s="508" t="e">
        <f>+C38/C44*100</f>
        <v>#REF!</v>
      </c>
      <c r="D39" s="507" t="e">
        <f t="shared" ref="D39" si="13">+D38/$H$38*100</f>
        <v>#DIV/0!</v>
      </c>
      <c r="E39" s="508" t="e">
        <f>+E38/E44*100</f>
        <v>#REF!</v>
      </c>
      <c r="F39" s="507" t="e">
        <f t="shared" ref="F39" si="14">+F38/$H$38*100</f>
        <v>#DIV/0!</v>
      </c>
      <c r="G39" s="508" t="e">
        <f>+G38/G44*100</f>
        <v>#REF!</v>
      </c>
      <c r="H39" s="507" t="e">
        <f t="shared" ref="H39" si="15">+H38/$H$38*100</f>
        <v>#DIV/0!</v>
      </c>
      <c r="I39" s="508" t="e">
        <f>+I38/I44*100</f>
        <v>#REF!</v>
      </c>
      <c r="J39" s="490" t="e">
        <f>+H38/$H$44*100</f>
        <v>#DIV/0!</v>
      </c>
      <c r="K39" s="491"/>
      <c r="L39" s="494"/>
      <c r="M39" s="494"/>
    </row>
    <row r="40" spans="1:13" s="38" customFormat="1" ht="20.25" hidden="1" customHeight="1" x14ac:dyDescent="0.25">
      <c r="A40" s="505" t="s">
        <v>41</v>
      </c>
      <c r="B40" s="496"/>
      <c r="C40" s="497"/>
      <c r="D40" s="496"/>
      <c r="E40" s="497"/>
      <c r="F40" s="496"/>
      <c r="G40" s="497"/>
      <c r="H40" s="498">
        <f>+B40+D40+F40</f>
        <v>0</v>
      </c>
      <c r="I40" s="499"/>
      <c r="J40" s="490"/>
      <c r="K40" s="491"/>
      <c r="L40" s="494"/>
      <c r="M40" s="494"/>
    </row>
    <row r="41" spans="1:13" s="38" customFormat="1" ht="20.25" hidden="1" customHeight="1" x14ac:dyDescent="0.25">
      <c r="A41" s="506"/>
      <c r="B41" s="493" t="e">
        <f>+B40/$H$40*100</f>
        <v>#DIV/0!</v>
      </c>
      <c r="C41" s="475" t="e">
        <f>+C40/C44*100</f>
        <v>#REF!</v>
      </c>
      <c r="D41" s="493" t="e">
        <f t="shared" ref="D41" si="16">+D40/$H$40*100</f>
        <v>#DIV/0!</v>
      </c>
      <c r="E41" s="475" t="e">
        <f>+E40/E44*100</f>
        <v>#REF!</v>
      </c>
      <c r="F41" s="493" t="e">
        <f>+F40/$H$40*100</f>
        <v>#DIV/0!</v>
      </c>
      <c r="G41" s="475" t="e">
        <f>+G40/G44*100</f>
        <v>#REF!</v>
      </c>
      <c r="H41" s="493" t="e">
        <f t="shared" ref="H41" si="17">+H40/$H$40*100</f>
        <v>#DIV/0!</v>
      </c>
      <c r="I41" s="475" t="e">
        <f>+I40/I44*100</f>
        <v>#REF!</v>
      </c>
      <c r="J41" s="490" t="e">
        <f>+H40/$H$44*100</f>
        <v>#DIV/0!</v>
      </c>
      <c r="K41" s="491"/>
      <c r="L41" s="494"/>
      <c r="M41" s="494"/>
    </row>
    <row r="42" spans="1:13" s="38" customFormat="1" ht="21" hidden="1" customHeight="1" x14ac:dyDescent="0.25">
      <c r="A42" s="505"/>
      <c r="B42" s="496"/>
      <c r="C42" s="497"/>
      <c r="D42" s="496"/>
      <c r="E42" s="497"/>
      <c r="F42" s="496"/>
      <c r="G42" s="497"/>
      <c r="H42" s="498">
        <f>+B42+D42+F42</f>
        <v>0</v>
      </c>
      <c r="I42" s="499"/>
      <c r="J42" s="490"/>
      <c r="K42" s="491"/>
      <c r="L42" s="228"/>
      <c r="M42" s="228"/>
    </row>
    <row r="43" spans="1:13" s="38" customFormat="1" ht="21" hidden="1" customHeight="1" x14ac:dyDescent="0.25">
      <c r="A43" s="506"/>
      <c r="B43" s="493" t="e">
        <f>+B42/$H$42*100</f>
        <v>#DIV/0!</v>
      </c>
      <c r="C43" s="475" t="e">
        <f>+C42/C46*100</f>
        <v>#DIV/0!</v>
      </c>
      <c r="D43" s="493" t="e">
        <f t="shared" ref="D43" si="18">+D42/$H$42*100</f>
        <v>#DIV/0!</v>
      </c>
      <c r="E43" s="475" t="e">
        <f t="shared" ref="E43" si="19">+E42/E46*100</f>
        <v>#DIV/0!</v>
      </c>
      <c r="F43" s="493" t="e">
        <f>+F42/$H$42*100</f>
        <v>#DIV/0!</v>
      </c>
      <c r="G43" s="475" t="e">
        <f t="shared" ref="G43" si="20">+G42/G46*100</f>
        <v>#DIV/0!</v>
      </c>
      <c r="H43" s="493" t="e">
        <f>+H42/$H$42*100</f>
        <v>#DIV/0!</v>
      </c>
      <c r="I43" s="475" t="e">
        <f t="shared" ref="I43" si="21">+I42/I46*100</f>
        <v>#DIV/0!</v>
      </c>
      <c r="J43" s="493" t="e">
        <f>+H42/$H$44*100</f>
        <v>#DIV/0!</v>
      </c>
      <c r="K43" s="475"/>
      <c r="L43" s="228"/>
      <c r="M43" s="228"/>
    </row>
    <row r="44" spans="1:13" s="38" customFormat="1" ht="19.5" hidden="1" customHeight="1" x14ac:dyDescent="0.25">
      <c r="A44" s="415" t="s">
        <v>43</v>
      </c>
      <c r="B44" s="492">
        <f>+B32+B34+B36+B38+B40+B42</f>
        <v>0</v>
      </c>
      <c r="C44" s="482" t="e">
        <f>+#REF!+#REF!+C40+C38+C36+C34+C32</f>
        <v>#REF!</v>
      </c>
      <c r="D44" s="492">
        <f t="shared" ref="D44" si="22">+D32+D34+D36+D38+D40+D42</f>
        <v>0</v>
      </c>
      <c r="E44" s="482" t="e">
        <f>+#REF!+#REF!+E40+E38+E36+E34+E32</f>
        <v>#REF!</v>
      </c>
      <c r="F44" s="492">
        <f t="shared" ref="F44" si="23">+F32+F34+F36+F38+F40+F42</f>
        <v>0</v>
      </c>
      <c r="G44" s="482" t="e">
        <f>+#REF!+#REF!+G40+G38+G36+G34+G32</f>
        <v>#REF!</v>
      </c>
      <c r="H44" s="492">
        <f>+H32+H34+H36+H38+H40+H42</f>
        <v>0</v>
      </c>
      <c r="I44" s="482" t="e">
        <f>+#REF!+#REF!+I40+I38+I36+I34+I32</f>
        <v>#REF!</v>
      </c>
      <c r="J44" s="490"/>
      <c r="K44" s="491"/>
      <c r="L44" s="229"/>
      <c r="M44" s="229"/>
    </row>
    <row r="45" spans="1:13" s="38" customFormat="1" ht="19.5" hidden="1" customHeight="1" x14ac:dyDescent="0.25">
      <c r="A45" s="415"/>
      <c r="B45" s="493" t="e">
        <f>+B44/$H$44*100</f>
        <v>#DIV/0!</v>
      </c>
      <c r="C45" s="475" t="e">
        <f>+C33+C35+C37+C39+C41+#REF!</f>
        <v>#REF!</v>
      </c>
      <c r="D45" s="493" t="e">
        <f t="shared" ref="D45" si="24">+D44/$H$44*100</f>
        <v>#DIV/0!</v>
      </c>
      <c r="E45" s="475" t="e">
        <f>+E33+E35+E37+E39+E41+#REF!</f>
        <v>#REF!</v>
      </c>
      <c r="F45" s="493" t="e">
        <f t="shared" ref="F45" si="25">+F44/$H$44*100</f>
        <v>#DIV/0!</v>
      </c>
      <c r="G45" s="475" t="e">
        <f>+G33+G35+G37+G39+G41+#REF!</f>
        <v>#REF!</v>
      </c>
      <c r="H45" s="493" t="e">
        <f t="shared" ref="H45" si="26">+H44/$H$44*100</f>
        <v>#DIV/0!</v>
      </c>
      <c r="I45" s="475" t="e">
        <f>+I33+I35+I37+I39+I41+#REF!</f>
        <v>#REF!</v>
      </c>
      <c r="J45" s="490" t="e">
        <f t="shared" ref="J45" si="27">+H44/$H$44*100</f>
        <v>#DIV/0!</v>
      </c>
      <c r="K45" s="491"/>
      <c r="L45" s="229"/>
      <c r="M45" s="229"/>
    </row>
    <row r="46" spans="1:13" ht="25.5" customHeight="1" x14ac:dyDescent="0.25">
      <c r="A46" s="71" t="s">
        <v>255</v>
      </c>
    </row>
    <row r="47" spans="1:13" s="38" customFormat="1" ht="20.25" customHeight="1" x14ac:dyDescent="0.25">
      <c r="A47" s="415" t="s">
        <v>32</v>
      </c>
      <c r="B47" s="407" t="s">
        <v>33</v>
      </c>
      <c r="C47" s="407"/>
      <c r="D47" s="407"/>
      <c r="E47" s="407"/>
      <c r="F47" s="407"/>
      <c r="G47" s="407"/>
      <c r="H47" s="407"/>
      <c r="I47" s="407"/>
      <c r="J47" s="501" t="s">
        <v>34</v>
      </c>
      <c r="K47" s="502"/>
      <c r="L47" s="415" t="s">
        <v>35</v>
      </c>
      <c r="M47" s="415"/>
    </row>
    <row r="48" spans="1:13" s="38" customFormat="1" ht="20.25" customHeight="1" x14ac:dyDescent="0.25">
      <c r="A48" s="415"/>
      <c r="B48" s="481" t="s">
        <v>18</v>
      </c>
      <c r="C48" s="482"/>
      <c r="D48" s="481" t="s">
        <v>19</v>
      </c>
      <c r="E48" s="482"/>
      <c r="F48" s="481" t="s">
        <v>20</v>
      </c>
      <c r="G48" s="482"/>
      <c r="H48" s="481" t="s">
        <v>36</v>
      </c>
      <c r="I48" s="482"/>
      <c r="J48" s="503"/>
      <c r="K48" s="504"/>
      <c r="L48" s="415"/>
      <c r="M48" s="415"/>
    </row>
    <row r="49" spans="1:13" s="38" customFormat="1" ht="20.25" customHeight="1" x14ac:dyDescent="0.25">
      <c r="A49" s="500" t="s">
        <v>37</v>
      </c>
      <c r="B49" s="496">
        <v>125476.79999999999</v>
      </c>
      <c r="C49" s="497"/>
      <c r="D49" s="496">
        <v>0</v>
      </c>
      <c r="E49" s="497"/>
      <c r="F49" s="496">
        <v>8251.2000000000007</v>
      </c>
      <c r="G49" s="497"/>
      <c r="H49" s="498">
        <f>+B49+D49+F49</f>
        <v>133728</v>
      </c>
      <c r="I49" s="499"/>
      <c r="J49" s="490"/>
      <c r="K49" s="491"/>
      <c r="L49" s="494"/>
      <c r="M49" s="494"/>
    </row>
    <row r="50" spans="1:13" s="38" customFormat="1" ht="20.25" customHeight="1" x14ac:dyDescent="0.25">
      <c r="A50" s="500"/>
      <c r="B50" s="493">
        <f>+B49/$H$49*100</f>
        <v>93.829863603732946</v>
      </c>
      <c r="C50" s="475"/>
      <c r="D50" s="493">
        <f t="shared" ref="D50" si="28">+D49/$H$49*100</f>
        <v>0</v>
      </c>
      <c r="E50" s="475"/>
      <c r="F50" s="493">
        <f>+F49/$H$49*100</f>
        <v>6.1701363962670497</v>
      </c>
      <c r="G50" s="475"/>
      <c r="H50" s="493">
        <f>+H49/$H$49*100</f>
        <v>100</v>
      </c>
      <c r="I50" s="475"/>
      <c r="J50" s="490">
        <f>+H49/$H$65*100</f>
        <v>60.802258078596275</v>
      </c>
      <c r="K50" s="491"/>
      <c r="L50" s="494"/>
      <c r="M50" s="494"/>
    </row>
    <row r="51" spans="1:13" s="38" customFormat="1" ht="20.25" customHeight="1" x14ac:dyDescent="0.25">
      <c r="A51" s="500" t="s">
        <v>42</v>
      </c>
      <c r="B51" s="496">
        <v>41331.200000000004</v>
      </c>
      <c r="C51" s="497"/>
      <c r="D51" s="496">
        <v>0</v>
      </c>
      <c r="E51" s="497"/>
      <c r="F51" s="496">
        <v>972.80000000000007</v>
      </c>
      <c r="G51" s="497"/>
      <c r="H51" s="498">
        <f>+B51+D51+F51</f>
        <v>42304.000000000007</v>
      </c>
      <c r="I51" s="499"/>
      <c r="J51" s="490"/>
      <c r="K51" s="491"/>
      <c r="L51" s="494"/>
      <c r="M51" s="494"/>
    </row>
    <row r="52" spans="1:13" s="38" customFormat="1" ht="20.25" customHeight="1" x14ac:dyDescent="0.25">
      <c r="A52" s="500"/>
      <c r="B52" s="493">
        <f>+B51/$H$51*100</f>
        <v>97.700453857791217</v>
      </c>
      <c r="C52" s="475"/>
      <c r="D52" s="493">
        <f t="shared" ref="D52" si="29">+D51/$H$51*100</f>
        <v>0</v>
      </c>
      <c r="E52" s="475"/>
      <c r="F52" s="493">
        <f>+F51/$H$51*100</f>
        <v>2.2995461422087744</v>
      </c>
      <c r="G52" s="475"/>
      <c r="H52" s="493">
        <f t="shared" ref="H52" si="30">+H51/$H$51*100</f>
        <v>100</v>
      </c>
      <c r="I52" s="475"/>
      <c r="J52" s="490">
        <f>+H51/$H$65*100</f>
        <v>19.234406599642089</v>
      </c>
      <c r="K52" s="491"/>
      <c r="L52" s="494"/>
      <c r="M52" s="494"/>
    </row>
    <row r="53" spans="1:13" s="38" customFormat="1" ht="21" customHeight="1" x14ac:dyDescent="0.25">
      <c r="A53" s="500" t="s">
        <v>254</v>
      </c>
      <c r="B53" s="496">
        <v>1121.5999999999999</v>
      </c>
      <c r="C53" s="497"/>
      <c r="D53" s="496">
        <v>0</v>
      </c>
      <c r="E53" s="497"/>
      <c r="F53" s="496">
        <v>27.200000000000003</v>
      </c>
      <c r="G53" s="497"/>
      <c r="H53" s="498">
        <f>+B53+D53+F53</f>
        <v>1148.8</v>
      </c>
      <c r="I53" s="499"/>
      <c r="J53" s="490"/>
      <c r="K53" s="491"/>
      <c r="L53" s="494"/>
      <c r="M53" s="494"/>
    </row>
    <row r="54" spans="1:13" s="38" customFormat="1" ht="21" customHeight="1" x14ac:dyDescent="0.25">
      <c r="A54" s="500"/>
      <c r="B54" s="493">
        <f>+B53/$H$53*100</f>
        <v>97.632311977715872</v>
      </c>
      <c r="C54" s="475"/>
      <c r="D54" s="493">
        <f t="shared" ref="D54" si="31">+D53/$H$53*100</f>
        <v>0</v>
      </c>
      <c r="E54" s="475"/>
      <c r="F54" s="493">
        <f t="shared" ref="F54" si="32">+F53/$H$53*100</f>
        <v>2.3676880222841228</v>
      </c>
      <c r="G54" s="475"/>
      <c r="H54" s="493">
        <f t="shared" ref="H54" si="33">+H53/$H$53*100</f>
        <v>100</v>
      </c>
      <c r="I54" s="475"/>
      <c r="J54" s="490">
        <f>+H53/$H$65*100</f>
        <v>0.52232617014156646</v>
      </c>
      <c r="K54" s="491"/>
      <c r="L54" s="494"/>
      <c r="M54" s="494"/>
    </row>
    <row r="55" spans="1:13" s="38" customFormat="1" ht="21" customHeight="1" x14ac:dyDescent="0.25">
      <c r="A55" s="500" t="s">
        <v>40</v>
      </c>
      <c r="B55" s="496">
        <v>17524.8</v>
      </c>
      <c r="C55" s="497"/>
      <c r="D55" s="496">
        <v>0</v>
      </c>
      <c r="E55" s="497"/>
      <c r="F55" s="496">
        <v>384</v>
      </c>
      <c r="G55" s="497"/>
      <c r="H55" s="498">
        <f>+B55+D55+F55</f>
        <v>17908.8</v>
      </c>
      <c r="I55" s="499"/>
      <c r="J55" s="490"/>
      <c r="K55" s="491"/>
      <c r="L55" s="494"/>
      <c r="M55" s="494"/>
    </row>
    <row r="56" spans="1:13" s="38" customFormat="1" ht="21" customHeight="1" x14ac:dyDescent="0.25">
      <c r="A56" s="500"/>
      <c r="B56" s="493">
        <f>+B55/$H$55*100</f>
        <v>97.855802733851519</v>
      </c>
      <c r="C56" s="475"/>
      <c r="D56" s="493">
        <f t="shared" ref="D56" si="34">+D55/$H$55*100</f>
        <v>0</v>
      </c>
      <c r="E56" s="475"/>
      <c r="F56" s="493">
        <f t="shared" ref="F56" si="35">+F55/$H$55*100</f>
        <v>2.1441972661484856</v>
      </c>
      <c r="G56" s="475"/>
      <c r="H56" s="493">
        <f t="shared" ref="H56" si="36">+H55/$H$55*100</f>
        <v>100</v>
      </c>
      <c r="I56" s="475"/>
      <c r="J56" s="490">
        <f>+H55/$H$65*100</f>
        <v>8.1426139587667876</v>
      </c>
      <c r="K56" s="491"/>
      <c r="L56" s="494"/>
      <c r="M56" s="494"/>
    </row>
    <row r="57" spans="1:13" s="38" customFormat="1" ht="21" customHeight="1" x14ac:dyDescent="0.25">
      <c r="A57" s="500" t="s">
        <v>218</v>
      </c>
      <c r="B57" s="496">
        <v>1984</v>
      </c>
      <c r="C57" s="497"/>
      <c r="D57" s="496">
        <v>0</v>
      </c>
      <c r="E57" s="497"/>
      <c r="F57" s="496">
        <v>142.4</v>
      </c>
      <c r="G57" s="497"/>
      <c r="H57" s="498">
        <f>+B57+D57+F57</f>
        <v>2126.4</v>
      </c>
      <c r="I57" s="499"/>
      <c r="J57" s="490"/>
      <c r="K57" s="491"/>
      <c r="L57" s="494"/>
      <c r="M57" s="494"/>
    </row>
    <row r="58" spans="1:13" s="38" customFormat="1" ht="21" customHeight="1" x14ac:dyDescent="0.25">
      <c r="A58" s="500"/>
      <c r="B58" s="493">
        <f>+B57/$H$57*100</f>
        <v>93.303235515425129</v>
      </c>
      <c r="C58" s="475"/>
      <c r="D58" s="493">
        <f t="shared" ref="D58" si="37">+D57/$H$57*100</f>
        <v>0</v>
      </c>
      <c r="E58" s="475"/>
      <c r="F58" s="493">
        <f t="shared" ref="F58" si="38">+F57/$H$57*100</f>
        <v>6.6967644845748691</v>
      </c>
      <c r="G58" s="475"/>
      <c r="H58" s="493">
        <f t="shared" ref="H58" si="39">+H57/$H$57*100</f>
        <v>100</v>
      </c>
      <c r="I58" s="475"/>
      <c r="J58" s="490">
        <f>+H57/$H$65*100</f>
        <v>0.96681264640409736</v>
      </c>
      <c r="K58" s="491"/>
      <c r="L58" s="494"/>
      <c r="M58" s="494"/>
    </row>
    <row r="59" spans="1:13" s="38" customFormat="1" ht="21" customHeight="1" x14ac:dyDescent="0.25">
      <c r="A59" s="500" t="s">
        <v>38</v>
      </c>
      <c r="B59" s="496">
        <v>15052.8</v>
      </c>
      <c r="C59" s="497"/>
      <c r="D59" s="496">
        <v>0</v>
      </c>
      <c r="E59" s="497"/>
      <c r="F59" s="496">
        <v>665.6</v>
      </c>
      <c r="G59" s="497"/>
      <c r="H59" s="498">
        <f>+B59+D59+F59</f>
        <v>15718.4</v>
      </c>
      <c r="I59" s="499"/>
      <c r="J59" s="490"/>
      <c r="K59" s="491"/>
      <c r="L59" s="494"/>
      <c r="M59" s="494"/>
    </row>
    <row r="60" spans="1:13" s="38" customFormat="1" ht="21" customHeight="1" x14ac:dyDescent="0.25">
      <c r="A60" s="500"/>
      <c r="B60" s="493">
        <f>+B59/$H$59*100</f>
        <v>95.765472312703579</v>
      </c>
      <c r="C60" s="475"/>
      <c r="D60" s="493">
        <f t="shared" ref="D60" si="40">+D59/$H$59*100</f>
        <v>0</v>
      </c>
      <c r="E60" s="475"/>
      <c r="F60" s="493">
        <f t="shared" ref="F60" si="41">+F59/$H$59*100</f>
        <v>4.234527687296417</v>
      </c>
      <c r="G60" s="475"/>
      <c r="H60" s="493">
        <f>+H59/$H$59*100</f>
        <v>100</v>
      </c>
      <c r="I60" s="475"/>
      <c r="J60" s="490">
        <f>+H59/$H$65*100</f>
        <v>7.1467023613798721</v>
      </c>
      <c r="K60" s="491"/>
      <c r="L60" s="494"/>
      <c r="M60" s="494"/>
    </row>
    <row r="61" spans="1:13" s="38" customFormat="1" ht="21" customHeight="1" x14ac:dyDescent="0.25">
      <c r="A61" s="500" t="s">
        <v>177</v>
      </c>
      <c r="B61" s="496">
        <v>3504</v>
      </c>
      <c r="C61" s="497"/>
      <c r="D61" s="496">
        <v>0</v>
      </c>
      <c r="E61" s="497"/>
      <c r="F61" s="496">
        <v>123.2</v>
      </c>
      <c r="G61" s="497"/>
      <c r="H61" s="498">
        <f>+B61+D61+F61</f>
        <v>3627.2</v>
      </c>
      <c r="I61" s="499"/>
      <c r="J61" s="490"/>
      <c r="K61" s="491"/>
      <c r="L61" s="494"/>
      <c r="M61" s="494"/>
    </row>
    <row r="62" spans="1:13" s="38" customFormat="1" ht="21" customHeight="1" x14ac:dyDescent="0.25">
      <c r="A62" s="500"/>
      <c r="B62" s="493">
        <f>+B61/$H$61*100</f>
        <v>96.603440670489633</v>
      </c>
      <c r="C62" s="475"/>
      <c r="D62" s="493">
        <f t="shared" ref="D62" si="42">+D61/$H$61*100</f>
        <v>0</v>
      </c>
      <c r="E62" s="475"/>
      <c r="F62" s="493">
        <f t="shared" ref="F62" si="43">+F61/$H$61*100</f>
        <v>3.3965593295103664</v>
      </c>
      <c r="G62" s="475"/>
      <c r="H62" s="493">
        <f t="shared" ref="H62" si="44">+H61/$H$61*100</f>
        <v>100</v>
      </c>
      <c r="I62" s="475"/>
      <c r="J62" s="490">
        <f>+H61/$H$65*100</f>
        <v>1.6491830469511575</v>
      </c>
      <c r="K62" s="491"/>
      <c r="L62" s="494"/>
      <c r="M62" s="494"/>
    </row>
    <row r="63" spans="1:13" s="38" customFormat="1" ht="21" customHeight="1" x14ac:dyDescent="0.25">
      <c r="A63" s="495" t="s">
        <v>178</v>
      </c>
      <c r="B63" s="496">
        <v>3377.6</v>
      </c>
      <c r="C63" s="497"/>
      <c r="D63" s="496">
        <v>0</v>
      </c>
      <c r="E63" s="497"/>
      <c r="F63" s="496">
        <v>0</v>
      </c>
      <c r="G63" s="497"/>
      <c r="H63" s="498">
        <f>+B63+D63+F63</f>
        <v>3377.6</v>
      </c>
      <c r="I63" s="499"/>
      <c r="J63" s="490"/>
      <c r="K63" s="491"/>
      <c r="L63" s="494"/>
      <c r="M63" s="494"/>
    </row>
    <row r="64" spans="1:13" s="38" customFormat="1" ht="21" customHeight="1" x14ac:dyDescent="0.25">
      <c r="A64" s="495"/>
      <c r="B64" s="493">
        <f>+B63/$H$63*100</f>
        <v>100</v>
      </c>
      <c r="C64" s="475"/>
      <c r="D64" s="493">
        <f t="shared" ref="D64" si="45">+D63/$H$63*100</f>
        <v>0</v>
      </c>
      <c r="E64" s="475"/>
      <c r="F64" s="493">
        <f t="shared" ref="F64" si="46">+F63/$H$63*100</f>
        <v>0</v>
      </c>
      <c r="G64" s="475"/>
      <c r="H64" s="493">
        <f t="shared" ref="H64" si="47">+H63/$H$63*100</f>
        <v>100</v>
      </c>
      <c r="I64" s="475"/>
      <c r="J64" s="490">
        <f>+H63/$H$65*100</f>
        <v>1.535697138118171</v>
      </c>
      <c r="K64" s="491"/>
      <c r="L64" s="494"/>
      <c r="M64" s="494"/>
    </row>
    <row r="65" spans="1:19" s="38" customFormat="1" ht="19.5" customHeight="1" x14ac:dyDescent="0.25">
      <c r="A65" s="415" t="s">
        <v>43</v>
      </c>
      <c r="B65" s="492">
        <f>+B49+B51+B53+B55+B57+B59+B61+B63</f>
        <v>209372.79999999999</v>
      </c>
      <c r="C65" s="482" t="e">
        <f>+#REF!+#REF!+#REF!+#REF!+C63+#REF!+#REF!</f>
        <v>#REF!</v>
      </c>
      <c r="D65" s="492">
        <f t="shared" ref="D65" si="48">+D49+D51+D53+D55+D57+D59+D61+D63</f>
        <v>0</v>
      </c>
      <c r="E65" s="482" t="e">
        <f>+#REF!+#REF!+#REF!+#REF!+E63+#REF!+#REF!</f>
        <v>#REF!</v>
      </c>
      <c r="F65" s="492">
        <f t="shared" ref="F65" si="49">+F49+F51+F53+F55+F57+F59+F61+F63</f>
        <v>10566.400000000001</v>
      </c>
      <c r="G65" s="482" t="e">
        <f>+#REF!+#REF!+#REF!+#REF!+G63+#REF!+#REF!</f>
        <v>#REF!</v>
      </c>
      <c r="H65" s="492">
        <f>+H49+H51+H53+H55+H57+H59+H61+H63</f>
        <v>219939.19999999998</v>
      </c>
      <c r="I65" s="482" t="e">
        <f>+#REF!+#REF!+#REF!+#REF!+I63+#REF!+#REF!</f>
        <v>#REF!</v>
      </c>
      <c r="J65" s="490"/>
      <c r="K65" s="491"/>
      <c r="L65" s="229"/>
      <c r="M65" s="229"/>
    </row>
    <row r="66" spans="1:19" s="38" customFormat="1" ht="19.5" customHeight="1" x14ac:dyDescent="0.25">
      <c r="A66" s="415"/>
      <c r="B66" s="493">
        <f>+B65/$H$65*100</f>
        <v>95.195763192736905</v>
      </c>
      <c r="C66" s="475" t="e">
        <f>+#REF!+#REF!+C64+#REF!+#REF!+#REF!</f>
        <v>#REF!</v>
      </c>
      <c r="D66" s="493">
        <f t="shared" ref="D66" si="50">+D65/$H$65*100</f>
        <v>0</v>
      </c>
      <c r="E66" s="475" t="e">
        <f>+#REF!+#REF!+E64+#REF!+#REF!+#REF!</f>
        <v>#REF!</v>
      </c>
      <c r="F66" s="493">
        <f t="shared" ref="F66" si="51">+F65/$H$65*100</f>
        <v>4.8042368072630994</v>
      </c>
      <c r="G66" s="475" t="e">
        <f>+#REF!+#REF!+G64+#REF!+#REF!+#REF!</f>
        <v>#REF!</v>
      </c>
      <c r="H66" s="493">
        <f t="shared" ref="H66" si="52">+H65/$H$65*100</f>
        <v>100</v>
      </c>
      <c r="I66" s="475" t="e">
        <f>+#REF!+#REF!+I64+#REF!+#REF!+#REF!</f>
        <v>#REF!</v>
      </c>
      <c r="J66" s="490">
        <f t="shared" ref="J66" si="53">+H65/$H$65*100</f>
        <v>100</v>
      </c>
      <c r="K66" s="491"/>
      <c r="L66" s="229"/>
      <c r="M66" s="229"/>
    </row>
    <row r="67" spans="1:19" ht="6.75" customHeight="1" x14ac:dyDescent="0.25"/>
    <row r="68" spans="1:19" ht="19.5" customHeight="1" x14ac:dyDescent="0.25">
      <c r="A68" s="146" t="s">
        <v>256</v>
      </c>
    </row>
    <row r="69" spans="1:19" ht="16.5" customHeight="1" x14ac:dyDescent="0.25">
      <c r="A69" s="146" t="s">
        <v>45</v>
      </c>
    </row>
    <row r="70" spans="1:19" ht="25.5" hidden="1" customHeight="1" x14ac:dyDescent="0.25">
      <c r="A70" s="71" t="s">
        <v>257</v>
      </c>
    </row>
    <row r="71" spans="1:19" ht="33" hidden="1" customHeight="1" x14ac:dyDescent="0.25">
      <c r="A71" s="193" t="s">
        <v>47</v>
      </c>
      <c r="B71" s="415" t="s">
        <v>48</v>
      </c>
      <c r="C71" s="415"/>
      <c r="D71" s="193" t="s">
        <v>17</v>
      </c>
      <c r="E71" s="193" t="s">
        <v>49</v>
      </c>
      <c r="F71" s="193" t="s">
        <v>50</v>
      </c>
      <c r="G71" s="481" t="s">
        <v>51</v>
      </c>
      <c r="H71" s="482"/>
      <c r="I71" s="193" t="s">
        <v>52</v>
      </c>
      <c r="J71" s="193" t="s">
        <v>53</v>
      </c>
      <c r="K71" s="481" t="s">
        <v>35</v>
      </c>
      <c r="L71" s="483"/>
      <c r="M71" s="482"/>
      <c r="N71" s="47" t="s">
        <v>54</v>
      </c>
      <c r="O71" s="48">
        <f>+O72+O73</f>
        <v>347104.5</v>
      </c>
      <c r="P71" s="47" t="s">
        <v>13</v>
      </c>
      <c r="Q71" s="47">
        <f>+Q72+Q73</f>
        <v>1143</v>
      </c>
    </row>
    <row r="72" spans="1:19" ht="19.5" hidden="1" customHeight="1" x14ac:dyDescent="0.25">
      <c r="A72" s="195">
        <v>1</v>
      </c>
      <c r="B72" s="461" t="s">
        <v>74</v>
      </c>
      <c r="C72" s="461"/>
      <c r="D72" s="230" t="s">
        <v>56</v>
      </c>
      <c r="E72" s="231">
        <v>21.26</v>
      </c>
      <c r="F72" s="220">
        <f>+G72/$O$71</f>
        <v>0</v>
      </c>
      <c r="G72" s="468"/>
      <c r="H72" s="469"/>
      <c r="I72" s="232">
        <f>+(E72-F72)*$O$71</f>
        <v>7379441.6700000009</v>
      </c>
      <c r="J72" s="233"/>
      <c r="K72" s="465" t="s">
        <v>258</v>
      </c>
      <c r="L72" s="476"/>
      <c r="M72" s="477"/>
      <c r="N72" s="54" t="s">
        <v>76</v>
      </c>
      <c r="O72" s="55">
        <v>243099</v>
      </c>
      <c r="P72" s="55"/>
      <c r="Q72" s="55">
        <v>1143</v>
      </c>
      <c r="R72" s="46"/>
    </row>
    <row r="73" spans="1:19" ht="19.5" hidden="1" customHeight="1" x14ac:dyDescent="0.25">
      <c r="A73" s="195">
        <v>2</v>
      </c>
      <c r="B73" s="487" t="s">
        <v>77</v>
      </c>
      <c r="C73" s="487"/>
      <c r="D73" s="234" t="s">
        <v>56</v>
      </c>
      <c r="E73" s="235">
        <v>0.28000000000000003</v>
      </c>
      <c r="F73" s="236">
        <f>+G73/$O$72</f>
        <v>0</v>
      </c>
      <c r="G73" s="468"/>
      <c r="H73" s="469"/>
      <c r="I73" s="232">
        <f>+(E73-F73)*$O$72</f>
        <v>68067.72</v>
      </c>
      <c r="J73" s="233"/>
      <c r="K73" s="465" t="s">
        <v>259</v>
      </c>
      <c r="L73" s="476"/>
      <c r="M73" s="477"/>
      <c r="N73" s="54" t="s">
        <v>78</v>
      </c>
      <c r="O73" s="55">
        <v>104005.5</v>
      </c>
      <c r="P73" s="55"/>
      <c r="Q73" s="55"/>
      <c r="R73" s="46"/>
    </row>
    <row r="74" spans="1:19" ht="19.5" hidden="1" customHeight="1" x14ac:dyDescent="0.25">
      <c r="A74" s="195">
        <v>3</v>
      </c>
      <c r="B74" s="487" t="s">
        <v>79</v>
      </c>
      <c r="C74" s="487"/>
      <c r="D74" s="234" t="s">
        <v>56</v>
      </c>
      <c r="E74" s="235">
        <v>0.39</v>
      </c>
      <c r="F74" s="236">
        <f>+G74/$O$73</f>
        <v>0</v>
      </c>
      <c r="G74" s="462"/>
      <c r="H74" s="463"/>
      <c r="I74" s="232">
        <f>+(E74-F74)*$O$73</f>
        <v>40562.145000000004</v>
      </c>
      <c r="J74" s="233"/>
      <c r="K74" s="237"/>
      <c r="L74" s="237"/>
      <c r="M74" s="61"/>
      <c r="N74" s="71"/>
      <c r="O74" s="71"/>
      <c r="P74" s="71"/>
      <c r="R74" s="46"/>
      <c r="S74" s="6" t="e">
        <f>+I74/G74*100</f>
        <v>#DIV/0!</v>
      </c>
    </row>
    <row r="75" spans="1:19" ht="19.5" hidden="1" customHeight="1" x14ac:dyDescent="0.25">
      <c r="A75" s="195">
        <v>4</v>
      </c>
      <c r="B75" s="487" t="s">
        <v>80</v>
      </c>
      <c r="C75" s="487"/>
      <c r="D75" s="234" t="s">
        <v>56</v>
      </c>
      <c r="E75" s="235">
        <v>9.8000000000000004E-2</v>
      </c>
      <c r="F75" s="236">
        <f>+G75/$O$72</f>
        <v>0</v>
      </c>
      <c r="G75" s="468"/>
      <c r="H75" s="469"/>
      <c r="I75" s="232">
        <f>+(E75-F75)*$O$72</f>
        <v>23823.702000000001</v>
      </c>
      <c r="J75" s="233"/>
      <c r="K75" s="465" t="s">
        <v>260</v>
      </c>
      <c r="L75" s="476"/>
      <c r="M75" s="477"/>
      <c r="N75" s="72"/>
      <c r="O75" s="71"/>
      <c r="P75" s="71"/>
      <c r="R75" s="46"/>
      <c r="S75" s="6" t="e">
        <f>+I75/G75*100</f>
        <v>#DIV/0!</v>
      </c>
    </row>
    <row r="76" spans="1:19" s="76" customFormat="1" ht="19.5" hidden="1" customHeight="1" x14ac:dyDescent="0.25">
      <c r="A76" s="195">
        <v>5</v>
      </c>
      <c r="B76" s="487" t="s">
        <v>81</v>
      </c>
      <c r="C76" s="487"/>
      <c r="D76" s="234" t="s">
        <v>56</v>
      </c>
      <c r="E76" s="238">
        <v>0.39</v>
      </c>
      <c r="F76" s="236">
        <f>+G76/$O$73</f>
        <v>0</v>
      </c>
      <c r="G76" s="462"/>
      <c r="H76" s="463"/>
      <c r="I76" s="232"/>
      <c r="J76" s="233">
        <f>+(F76-E76)*$O$73</f>
        <v>-40562.145000000004</v>
      </c>
      <c r="K76" s="239"/>
      <c r="L76" s="239"/>
      <c r="M76" s="74"/>
      <c r="N76" s="72"/>
      <c r="O76" s="75"/>
      <c r="P76" s="75"/>
      <c r="R76" s="77"/>
    </row>
    <row r="77" spans="1:19" s="76" customFormat="1" ht="19.5" hidden="1" customHeight="1" x14ac:dyDescent="0.25">
      <c r="A77" s="195">
        <v>6</v>
      </c>
      <c r="B77" s="487" t="s">
        <v>82</v>
      </c>
      <c r="C77" s="487"/>
      <c r="D77" s="234" t="s">
        <v>56</v>
      </c>
      <c r="E77" s="240">
        <v>0.11899999999999999</v>
      </c>
      <c r="F77" s="236">
        <f>+G77/$O$72</f>
        <v>0</v>
      </c>
      <c r="G77" s="462"/>
      <c r="H77" s="463"/>
      <c r="I77" s="232"/>
      <c r="J77" s="233">
        <f>+(F77-E77)*$O$72</f>
        <v>-28928.780999999999</v>
      </c>
      <c r="K77" s="239"/>
      <c r="L77" s="239"/>
      <c r="M77" s="74"/>
      <c r="N77" s="75"/>
      <c r="O77" s="75"/>
      <c r="P77" s="75"/>
      <c r="R77" s="77"/>
    </row>
    <row r="78" spans="1:19" ht="19.5" hidden="1" customHeight="1" x14ac:dyDescent="0.25">
      <c r="A78" s="195">
        <v>7</v>
      </c>
      <c r="B78" s="487" t="s">
        <v>83</v>
      </c>
      <c r="C78" s="487"/>
      <c r="D78" s="234" t="s">
        <v>62</v>
      </c>
      <c r="E78" s="238">
        <v>0.66900000000000004</v>
      </c>
      <c r="F78" s="236">
        <f t="shared" ref="F78:F83" si="54">+G78/$O$71</f>
        <v>0</v>
      </c>
      <c r="G78" s="462"/>
      <c r="H78" s="463"/>
      <c r="I78" s="232">
        <f t="shared" ref="I78:I83" si="55">+(E78-F78)*$O$71</f>
        <v>232212.91050000003</v>
      </c>
      <c r="J78" s="233"/>
      <c r="K78" s="237"/>
      <c r="L78" s="237"/>
      <c r="M78" s="59"/>
      <c r="N78" s="71"/>
      <c r="O78" s="6"/>
      <c r="R78" s="46"/>
    </row>
    <row r="79" spans="1:19" ht="19.5" hidden="1" customHeight="1" x14ac:dyDescent="0.25">
      <c r="A79" s="195">
        <v>8</v>
      </c>
      <c r="B79" s="478" t="s">
        <v>84</v>
      </c>
      <c r="C79" s="479"/>
      <c r="D79" s="234" t="s">
        <v>56</v>
      </c>
      <c r="E79" s="235">
        <v>0.02</v>
      </c>
      <c r="F79" s="236">
        <f t="shared" si="54"/>
        <v>0</v>
      </c>
      <c r="G79" s="462"/>
      <c r="H79" s="463"/>
      <c r="I79" s="232">
        <f t="shared" si="55"/>
        <v>6942.09</v>
      </c>
      <c r="J79" s="233"/>
      <c r="K79" s="237"/>
      <c r="L79" s="237"/>
      <c r="M79" s="59"/>
      <c r="O79" s="45"/>
      <c r="P79" s="79"/>
      <c r="R79" s="46"/>
    </row>
    <row r="80" spans="1:19" ht="19.5" hidden="1" customHeight="1" x14ac:dyDescent="0.25">
      <c r="A80" s="195">
        <v>9</v>
      </c>
      <c r="B80" s="478" t="s">
        <v>64</v>
      </c>
      <c r="C80" s="479"/>
      <c r="D80" s="234" t="s">
        <v>56</v>
      </c>
      <c r="E80" s="241">
        <v>2.01E-2</v>
      </c>
      <c r="F80" s="242">
        <f t="shared" si="54"/>
        <v>0</v>
      </c>
      <c r="G80" s="462"/>
      <c r="H80" s="463"/>
      <c r="I80" s="232">
        <f t="shared" si="55"/>
        <v>6976.8004499999997</v>
      </c>
      <c r="J80" s="233"/>
      <c r="K80" s="237"/>
      <c r="L80" s="237"/>
      <c r="M80" s="59"/>
      <c r="N80" s="64"/>
      <c r="O80" s="45"/>
      <c r="R80" s="46"/>
    </row>
    <row r="81" spans="1:19" ht="19.5" hidden="1" customHeight="1" x14ac:dyDescent="0.25">
      <c r="A81" s="195">
        <v>10</v>
      </c>
      <c r="B81" s="478" t="s">
        <v>65</v>
      </c>
      <c r="C81" s="479"/>
      <c r="D81" s="234" t="s">
        <v>56</v>
      </c>
      <c r="E81" s="231">
        <v>1.84</v>
      </c>
      <c r="F81" s="220">
        <f t="shared" si="54"/>
        <v>0</v>
      </c>
      <c r="G81" s="468"/>
      <c r="H81" s="469"/>
      <c r="I81" s="232">
        <f t="shared" si="55"/>
        <v>638672.28</v>
      </c>
      <c r="J81" s="233"/>
      <c r="K81" s="470" t="s">
        <v>261</v>
      </c>
      <c r="L81" s="471"/>
      <c r="M81" s="472"/>
      <c r="N81" s="81"/>
      <c r="O81" s="6"/>
      <c r="R81" s="46"/>
    </row>
    <row r="82" spans="1:19" ht="19.5" hidden="1" customHeight="1" x14ac:dyDescent="0.25">
      <c r="A82" s="195">
        <v>11</v>
      </c>
      <c r="B82" s="478" t="s">
        <v>67</v>
      </c>
      <c r="C82" s="479"/>
      <c r="D82" s="234" t="s">
        <v>56</v>
      </c>
      <c r="E82" s="241">
        <v>7.6E-3</v>
      </c>
      <c r="F82" s="242">
        <f t="shared" si="54"/>
        <v>0</v>
      </c>
      <c r="G82" s="462"/>
      <c r="H82" s="463"/>
      <c r="I82" s="232">
        <f t="shared" si="55"/>
        <v>2637.9942000000001</v>
      </c>
      <c r="J82" s="233"/>
      <c r="K82" s="239"/>
      <c r="L82" s="239"/>
      <c r="M82" s="59"/>
      <c r="N82" s="64"/>
      <c r="O82" s="45"/>
      <c r="R82" s="46"/>
    </row>
    <row r="83" spans="1:19" ht="19.5" hidden="1" customHeight="1" x14ac:dyDescent="0.25">
      <c r="A83" s="195">
        <v>12</v>
      </c>
      <c r="B83" s="478" t="s">
        <v>68</v>
      </c>
      <c r="C83" s="479"/>
      <c r="D83" s="234" t="s">
        <v>62</v>
      </c>
      <c r="E83" s="235">
        <v>4.2999999999999997E-2</v>
      </c>
      <c r="F83" s="236">
        <f t="shared" si="54"/>
        <v>0</v>
      </c>
      <c r="G83" s="462"/>
      <c r="H83" s="463"/>
      <c r="I83" s="232">
        <f t="shared" si="55"/>
        <v>14925.493499999999</v>
      </c>
      <c r="J83" s="233"/>
      <c r="K83" s="488"/>
      <c r="L83" s="489"/>
      <c r="M83" s="59"/>
      <c r="N83" s="64"/>
      <c r="O83" s="45"/>
      <c r="R83" s="46">
        <f>+O83-H83</f>
        <v>0</v>
      </c>
    </row>
    <row r="84" spans="1:19" ht="19.5" hidden="1" customHeight="1" x14ac:dyDescent="0.25">
      <c r="A84" s="195">
        <v>13</v>
      </c>
      <c r="B84" s="478" t="s">
        <v>69</v>
      </c>
      <c r="C84" s="479"/>
      <c r="D84" s="234" t="s">
        <v>62</v>
      </c>
      <c r="E84" s="241">
        <v>1.0699999999999999E-2</v>
      </c>
      <c r="F84" s="220"/>
      <c r="G84" s="462"/>
      <c r="H84" s="463"/>
      <c r="I84" s="232"/>
      <c r="J84" s="233"/>
      <c r="K84" s="488" t="s">
        <v>262</v>
      </c>
      <c r="L84" s="489"/>
      <c r="M84" s="59"/>
      <c r="N84" s="64"/>
      <c r="O84" s="45"/>
      <c r="R84" s="46">
        <f>+O84-H84</f>
        <v>0</v>
      </c>
    </row>
    <row r="85" spans="1:19" ht="19.5" hidden="1" customHeight="1" x14ac:dyDescent="0.25">
      <c r="A85" s="195">
        <v>14</v>
      </c>
      <c r="B85" s="478" t="s">
        <v>71</v>
      </c>
      <c r="C85" s="479"/>
      <c r="D85" s="234" t="s">
        <v>62</v>
      </c>
      <c r="E85" s="235">
        <v>0.06</v>
      </c>
      <c r="F85" s="236">
        <f>+G85/$O$71</f>
        <v>0</v>
      </c>
      <c r="G85" s="458"/>
      <c r="H85" s="459"/>
      <c r="I85" s="232">
        <f>+(E85-F85)*$O$71</f>
        <v>20826.27</v>
      </c>
      <c r="J85" s="233"/>
      <c r="K85" s="480"/>
      <c r="L85" s="466"/>
      <c r="M85" s="467"/>
      <c r="O85" s="45"/>
      <c r="R85" s="46"/>
    </row>
    <row r="86" spans="1:19" ht="22.5" hidden="1" customHeight="1" x14ac:dyDescent="0.25">
      <c r="A86" s="195">
        <v>15</v>
      </c>
      <c r="B86" s="478" t="s">
        <v>87</v>
      </c>
      <c r="C86" s="479"/>
      <c r="D86" s="234" t="s">
        <v>56</v>
      </c>
      <c r="E86" s="241">
        <v>2.0999999999999999E-3</v>
      </c>
      <c r="F86" s="242">
        <f>+G86/$O$71</f>
        <v>0</v>
      </c>
      <c r="G86" s="458"/>
      <c r="H86" s="459"/>
      <c r="I86" s="232"/>
      <c r="J86" s="233"/>
      <c r="K86" s="243"/>
      <c r="L86" s="243"/>
      <c r="M86" s="60"/>
      <c r="O86" s="45"/>
      <c r="R86" s="46"/>
    </row>
    <row r="87" spans="1:19" ht="22.5" hidden="1" customHeight="1" x14ac:dyDescent="0.25">
      <c r="A87" s="195">
        <v>16</v>
      </c>
      <c r="B87" s="478" t="s">
        <v>88</v>
      </c>
      <c r="C87" s="479"/>
      <c r="D87" s="234" t="s">
        <v>56</v>
      </c>
      <c r="E87" s="241">
        <v>1.2999999999999999E-3</v>
      </c>
      <c r="F87" s="242">
        <f>+G87/$O$71</f>
        <v>0</v>
      </c>
      <c r="G87" s="458"/>
      <c r="H87" s="459"/>
      <c r="I87" s="232"/>
      <c r="J87" s="233"/>
      <c r="K87" s="243"/>
      <c r="L87" s="243"/>
      <c r="M87" s="60"/>
      <c r="O87" s="45"/>
      <c r="R87" s="46"/>
    </row>
    <row r="88" spans="1:19" ht="23.25" hidden="1" customHeight="1" x14ac:dyDescent="0.25">
      <c r="A88" s="71" t="s">
        <v>263</v>
      </c>
    </row>
    <row r="89" spans="1:19" ht="33" hidden="1" customHeight="1" x14ac:dyDescent="0.25">
      <c r="A89" s="193" t="s">
        <v>47</v>
      </c>
      <c r="B89" s="415" t="s">
        <v>48</v>
      </c>
      <c r="C89" s="415"/>
      <c r="D89" s="193" t="s">
        <v>17</v>
      </c>
      <c r="E89" s="193" t="s">
        <v>49</v>
      </c>
      <c r="F89" s="193" t="s">
        <v>50</v>
      </c>
      <c r="G89" s="481" t="s">
        <v>51</v>
      </c>
      <c r="H89" s="482"/>
      <c r="I89" s="193" t="s">
        <v>52</v>
      </c>
      <c r="J89" s="193" t="s">
        <v>53</v>
      </c>
      <c r="K89" s="481" t="s">
        <v>35</v>
      </c>
      <c r="L89" s="483"/>
      <c r="M89" s="482"/>
      <c r="N89" s="47" t="s">
        <v>54</v>
      </c>
      <c r="O89" s="48">
        <f>+O90+O91</f>
        <v>0</v>
      </c>
      <c r="P89" s="47" t="s">
        <v>13</v>
      </c>
      <c r="Q89" s="47">
        <f>+Q90+Q91</f>
        <v>0</v>
      </c>
    </row>
    <row r="90" spans="1:19" ht="19.5" hidden="1" customHeight="1" x14ac:dyDescent="0.25">
      <c r="A90" s="195">
        <v>1</v>
      </c>
      <c r="B90" s="461" t="s">
        <v>74</v>
      </c>
      <c r="C90" s="461"/>
      <c r="D90" s="230" t="s">
        <v>56</v>
      </c>
      <c r="E90" s="231">
        <v>21.65</v>
      </c>
      <c r="F90" s="244" t="e">
        <f>+G90/$O$89</f>
        <v>#DIV/0!</v>
      </c>
      <c r="G90" s="462"/>
      <c r="H90" s="463"/>
      <c r="I90" s="227" t="e">
        <f>+(E90-F90)*$O$89</f>
        <v>#DIV/0!</v>
      </c>
      <c r="J90" s="233"/>
      <c r="K90" s="465" t="s">
        <v>264</v>
      </c>
      <c r="L90" s="476"/>
      <c r="M90" s="477"/>
      <c r="N90" s="54" t="s">
        <v>265</v>
      </c>
      <c r="O90" s="55"/>
      <c r="P90" s="55"/>
      <c r="Q90" s="60"/>
      <c r="R90" s="46"/>
    </row>
    <row r="91" spans="1:19" ht="19.5" hidden="1" customHeight="1" x14ac:dyDescent="0.25">
      <c r="A91" s="195">
        <v>2</v>
      </c>
      <c r="B91" s="487" t="s">
        <v>79</v>
      </c>
      <c r="C91" s="487"/>
      <c r="D91" s="234" t="s">
        <v>56</v>
      </c>
      <c r="E91" s="235">
        <v>0.436</v>
      </c>
      <c r="F91" s="245" t="e">
        <f>+G91/$O$91</f>
        <v>#DIV/0!</v>
      </c>
      <c r="G91" s="462"/>
      <c r="H91" s="463"/>
      <c r="I91" s="227" t="e">
        <f>+(E91-F91)*O91</f>
        <v>#DIV/0!</v>
      </c>
      <c r="J91" s="233"/>
      <c r="K91" s="237"/>
      <c r="L91" s="237"/>
      <c r="M91" s="59"/>
      <c r="N91" s="54" t="s">
        <v>78</v>
      </c>
      <c r="O91" s="55"/>
      <c r="P91" s="55">
        <v>0</v>
      </c>
      <c r="Q91" s="209"/>
      <c r="R91" s="46"/>
    </row>
    <row r="92" spans="1:19" ht="19.5" hidden="1" customHeight="1" x14ac:dyDescent="0.25">
      <c r="A92" s="195">
        <v>3</v>
      </c>
      <c r="B92" s="487" t="s">
        <v>266</v>
      </c>
      <c r="C92" s="487"/>
      <c r="D92" s="234" t="s">
        <v>56</v>
      </c>
      <c r="E92" s="235">
        <v>0.31900000000000001</v>
      </c>
      <c r="F92" s="245" t="e">
        <f>+G92/$O$90</f>
        <v>#DIV/0!</v>
      </c>
      <c r="G92" s="462"/>
      <c r="H92" s="463"/>
      <c r="I92" s="227" t="e">
        <f>+(E92-F92)*O90</f>
        <v>#DIV/0!</v>
      </c>
      <c r="J92" s="233"/>
      <c r="K92" s="237"/>
      <c r="L92" s="237"/>
      <c r="M92" s="61"/>
      <c r="N92" s="75"/>
      <c r="O92" s="71"/>
      <c r="P92" s="71"/>
      <c r="R92" s="46"/>
      <c r="S92" s="6" t="e">
        <f>+I92/G92*100</f>
        <v>#DIV/0!</v>
      </c>
    </row>
    <row r="93" spans="1:19" ht="19.5" hidden="1" customHeight="1" x14ac:dyDescent="0.25">
      <c r="A93" s="195">
        <v>4</v>
      </c>
      <c r="B93" s="487" t="s">
        <v>81</v>
      </c>
      <c r="C93" s="487"/>
      <c r="D93" s="234" t="s">
        <v>56</v>
      </c>
      <c r="E93" s="235">
        <v>0.38900000000000001</v>
      </c>
      <c r="F93" s="245" t="e">
        <f>+G93/$O$91</f>
        <v>#DIV/0!</v>
      </c>
      <c r="G93" s="462"/>
      <c r="H93" s="463"/>
      <c r="I93" s="227"/>
      <c r="J93" s="233" t="e">
        <f>+(F93-E93)*$O$91</f>
        <v>#DIV/0!</v>
      </c>
      <c r="K93" s="237"/>
      <c r="L93" s="237"/>
      <c r="M93" s="61"/>
      <c r="N93" s="71"/>
      <c r="O93" s="71"/>
      <c r="P93" s="71"/>
      <c r="R93" s="46"/>
      <c r="S93" s="6" t="e">
        <f>+I93/G93*100</f>
        <v>#DIV/0!</v>
      </c>
    </row>
    <row r="94" spans="1:19" s="76" customFormat="1" ht="19.5" hidden="1" customHeight="1" x14ac:dyDescent="0.25">
      <c r="A94" s="195">
        <v>5</v>
      </c>
      <c r="B94" s="487" t="s">
        <v>267</v>
      </c>
      <c r="C94" s="487"/>
      <c r="D94" s="234" t="s">
        <v>56</v>
      </c>
      <c r="E94" s="238">
        <v>0.31900000000000001</v>
      </c>
      <c r="F94" s="245" t="e">
        <f>+G94/$O$90</f>
        <v>#DIV/0!</v>
      </c>
      <c r="G94" s="462"/>
      <c r="H94" s="463"/>
      <c r="I94" s="227"/>
      <c r="J94" s="233" t="e">
        <f>+(F94-E94)*$O$90</f>
        <v>#DIV/0!</v>
      </c>
      <c r="K94" s="239"/>
      <c r="L94" s="239"/>
      <c r="M94" s="74"/>
      <c r="N94" s="246"/>
      <c r="O94" s="75"/>
      <c r="P94" s="75"/>
      <c r="R94" s="77"/>
    </row>
    <row r="95" spans="1:19" ht="19.5" hidden="1" customHeight="1" x14ac:dyDescent="0.25">
      <c r="A95" s="195">
        <v>6</v>
      </c>
      <c r="B95" s="487" t="s">
        <v>268</v>
      </c>
      <c r="C95" s="487"/>
      <c r="D95" s="234" t="s">
        <v>62</v>
      </c>
      <c r="E95" s="238">
        <v>0.55700000000000005</v>
      </c>
      <c r="F95" s="245" t="e">
        <f>+G95/$O$89</f>
        <v>#DIV/0!</v>
      </c>
      <c r="G95" s="462"/>
      <c r="H95" s="463"/>
      <c r="I95" s="227"/>
      <c r="J95" s="233"/>
      <c r="K95" s="465"/>
      <c r="L95" s="476"/>
      <c r="M95" s="477"/>
      <c r="O95" s="45"/>
      <c r="R95" s="46"/>
    </row>
    <row r="96" spans="1:19" ht="19.5" hidden="1" customHeight="1" x14ac:dyDescent="0.25">
      <c r="A96" s="195">
        <v>7</v>
      </c>
      <c r="B96" s="478" t="s">
        <v>269</v>
      </c>
      <c r="C96" s="479"/>
      <c r="D96" s="234" t="s">
        <v>56</v>
      </c>
      <c r="E96" s="235">
        <v>2.1999999999999999E-2</v>
      </c>
      <c r="F96" s="245" t="e">
        <f t="shared" ref="F96:F99" si="56">+G96/$O$89</f>
        <v>#DIV/0!</v>
      </c>
      <c r="G96" s="462"/>
      <c r="H96" s="463"/>
      <c r="I96" s="227"/>
      <c r="J96" s="233"/>
      <c r="K96" s="237"/>
      <c r="L96" s="237"/>
      <c r="M96" s="59"/>
      <c r="O96" s="45"/>
      <c r="P96" s="79"/>
      <c r="R96" s="46"/>
    </row>
    <row r="97" spans="1:18" ht="19.5" hidden="1" customHeight="1" x14ac:dyDescent="0.25">
      <c r="A97" s="195">
        <v>8</v>
      </c>
      <c r="B97" s="478" t="s">
        <v>64</v>
      </c>
      <c r="C97" s="479"/>
      <c r="D97" s="234" t="s">
        <v>56</v>
      </c>
      <c r="E97" s="241">
        <v>1.09E-2</v>
      </c>
      <c r="F97" s="247" t="e">
        <f t="shared" si="56"/>
        <v>#DIV/0!</v>
      </c>
      <c r="G97" s="462"/>
      <c r="H97" s="463"/>
      <c r="I97" s="227" t="e">
        <f>+(E97-F97)*$O$89</f>
        <v>#DIV/0!</v>
      </c>
      <c r="J97" s="233"/>
      <c r="K97" s="237"/>
      <c r="L97" s="237"/>
      <c r="M97" s="59"/>
      <c r="N97" s="64"/>
      <c r="O97" s="45"/>
      <c r="R97" s="46"/>
    </row>
    <row r="98" spans="1:18" ht="19.5" hidden="1" customHeight="1" x14ac:dyDescent="0.25">
      <c r="A98" s="195">
        <v>9</v>
      </c>
      <c r="B98" s="478" t="s">
        <v>65</v>
      </c>
      <c r="C98" s="479"/>
      <c r="D98" s="234" t="s">
        <v>56</v>
      </c>
      <c r="E98" s="231">
        <v>1.84</v>
      </c>
      <c r="F98" s="244" t="e">
        <f t="shared" si="56"/>
        <v>#DIV/0!</v>
      </c>
      <c r="G98" s="462"/>
      <c r="H98" s="463"/>
      <c r="I98" s="227" t="e">
        <f>+(E98-F98)*$O$89</f>
        <v>#DIV/0!</v>
      </c>
      <c r="J98" s="233"/>
      <c r="K98" s="484" t="s">
        <v>270</v>
      </c>
      <c r="L98" s="485"/>
      <c r="M98" s="486"/>
      <c r="N98" s="81"/>
      <c r="O98" s="45"/>
      <c r="R98" s="46"/>
    </row>
    <row r="99" spans="1:18" ht="19.5" hidden="1" customHeight="1" x14ac:dyDescent="0.25">
      <c r="A99" s="195">
        <v>10</v>
      </c>
      <c r="B99" s="478" t="s">
        <v>67</v>
      </c>
      <c r="C99" s="479"/>
      <c r="D99" s="234" t="s">
        <v>56</v>
      </c>
      <c r="E99" s="241">
        <v>5.3E-3</v>
      </c>
      <c r="F99" s="247" t="e">
        <f t="shared" si="56"/>
        <v>#DIV/0!</v>
      </c>
      <c r="G99" s="462"/>
      <c r="H99" s="463"/>
      <c r="I99" s="227" t="e">
        <f>+(E99-F99)*$O$89</f>
        <v>#DIV/0!</v>
      </c>
      <c r="J99" s="233"/>
      <c r="K99" s="239"/>
      <c r="L99" s="239"/>
      <c r="M99" s="59"/>
      <c r="N99" s="64"/>
      <c r="O99" s="45"/>
      <c r="R99" s="46"/>
    </row>
    <row r="100" spans="1:18" ht="19.5" hidden="1" customHeight="1" x14ac:dyDescent="0.25">
      <c r="A100" s="195">
        <v>11</v>
      </c>
      <c r="B100" s="478" t="s">
        <v>69</v>
      </c>
      <c r="C100" s="479"/>
      <c r="D100" s="234" t="s">
        <v>62</v>
      </c>
      <c r="E100" s="241">
        <v>1.54E-2</v>
      </c>
      <c r="F100" s="220"/>
      <c r="G100" s="462"/>
      <c r="H100" s="463"/>
      <c r="I100" s="227"/>
      <c r="J100" s="233"/>
      <c r="K100" s="464" t="s">
        <v>271</v>
      </c>
      <c r="L100" s="464"/>
      <c r="M100" s="59"/>
      <c r="N100" s="64"/>
      <c r="O100" s="45"/>
      <c r="R100" s="46">
        <f>+O100-H100</f>
        <v>0</v>
      </c>
    </row>
    <row r="101" spans="1:18" ht="19.5" hidden="1" customHeight="1" x14ac:dyDescent="0.25">
      <c r="A101" s="195">
        <v>12</v>
      </c>
      <c r="B101" s="478" t="s">
        <v>71</v>
      </c>
      <c r="C101" s="479"/>
      <c r="D101" s="234" t="s">
        <v>62</v>
      </c>
      <c r="E101" s="235">
        <v>2.7E-2</v>
      </c>
      <c r="F101" s="245" t="e">
        <f>+G101/$O$89</f>
        <v>#DIV/0!</v>
      </c>
      <c r="G101" s="462"/>
      <c r="H101" s="463"/>
      <c r="I101" s="227"/>
      <c r="J101" s="233" t="e">
        <f>+(F101-E101)*O89</f>
        <v>#DIV/0!</v>
      </c>
      <c r="K101" s="480"/>
      <c r="L101" s="466"/>
      <c r="M101" s="467"/>
      <c r="O101" s="45"/>
      <c r="R101" s="46"/>
    </row>
    <row r="102" spans="1:18" ht="22.5" hidden="1" customHeight="1" x14ac:dyDescent="0.25">
      <c r="A102" s="195">
        <v>13</v>
      </c>
      <c r="B102" s="478" t="s">
        <v>72</v>
      </c>
      <c r="C102" s="479"/>
      <c r="D102" s="234" t="s">
        <v>56</v>
      </c>
      <c r="E102" s="241">
        <v>2.0999999999999999E-3</v>
      </c>
      <c r="F102" s="248" t="e">
        <f>+G102/$O$89</f>
        <v>#DIV/0!</v>
      </c>
      <c r="G102" s="458"/>
      <c r="H102" s="459"/>
      <c r="I102" s="232"/>
      <c r="J102" s="233"/>
      <c r="K102" s="243"/>
      <c r="L102" s="243"/>
      <c r="M102" s="60"/>
      <c r="O102" s="45"/>
      <c r="R102" s="46"/>
    </row>
    <row r="103" spans="1:18" ht="22.5" customHeight="1" x14ac:dyDescent="0.25">
      <c r="A103" s="71" t="s">
        <v>272</v>
      </c>
      <c r="B103" s="249"/>
      <c r="C103" s="249"/>
      <c r="D103" s="249"/>
      <c r="E103" s="250"/>
      <c r="F103" s="251"/>
      <c r="G103" s="252"/>
      <c r="H103" s="252"/>
      <c r="I103" s="253"/>
      <c r="J103" s="254"/>
      <c r="K103" s="71"/>
      <c r="L103" s="71"/>
      <c r="O103" s="45"/>
      <c r="R103" s="46"/>
    </row>
    <row r="104" spans="1:18" ht="22.5" customHeight="1" x14ac:dyDescent="0.25">
      <c r="A104" s="193" t="s">
        <v>47</v>
      </c>
      <c r="B104" s="415" t="s">
        <v>48</v>
      </c>
      <c r="C104" s="415"/>
      <c r="D104" s="193" t="s">
        <v>17</v>
      </c>
      <c r="E104" s="193" t="s">
        <v>49</v>
      </c>
      <c r="F104" s="193" t="s">
        <v>50</v>
      </c>
      <c r="G104" s="481" t="s">
        <v>51</v>
      </c>
      <c r="H104" s="482"/>
      <c r="I104" s="193" t="s">
        <v>52</v>
      </c>
      <c r="J104" s="193" t="s">
        <v>53</v>
      </c>
      <c r="K104" s="481" t="s">
        <v>35</v>
      </c>
      <c r="L104" s="483"/>
      <c r="M104" s="482"/>
      <c r="N104" s="47" t="s">
        <v>54</v>
      </c>
      <c r="O104" s="48">
        <f>+O105+O106</f>
        <v>219939.19999999998</v>
      </c>
      <c r="P104" s="47" t="s">
        <v>13</v>
      </c>
      <c r="Q104" s="47">
        <f>+Q105+Q106</f>
        <v>704</v>
      </c>
      <c r="R104" s="46"/>
    </row>
    <row r="105" spans="1:18" ht="20.25" customHeight="1" x14ac:dyDescent="0.25">
      <c r="A105" s="195">
        <v>1</v>
      </c>
      <c r="B105" s="461" t="s">
        <v>55</v>
      </c>
      <c r="C105" s="461"/>
      <c r="D105" s="230" t="s">
        <v>56</v>
      </c>
      <c r="E105" s="213">
        <v>21.01</v>
      </c>
      <c r="F105" s="220">
        <f>+G105/$O$104</f>
        <v>19.978127788321714</v>
      </c>
      <c r="G105" s="462">
        <v>4393973.4432612471</v>
      </c>
      <c r="H105" s="463"/>
      <c r="I105" s="227">
        <f>+(E105-F105)*$O$104</f>
        <v>226949.14873875314</v>
      </c>
      <c r="J105" s="233"/>
      <c r="K105" s="465" t="s">
        <v>273</v>
      </c>
      <c r="L105" s="476"/>
      <c r="M105" s="477"/>
      <c r="N105" s="54" t="s">
        <v>58</v>
      </c>
      <c r="O105" s="55">
        <v>219939.19999999998</v>
      </c>
      <c r="P105" s="55"/>
      <c r="Q105" s="55">
        <v>704</v>
      </c>
      <c r="R105" s="46"/>
    </row>
    <row r="106" spans="1:18" ht="20.25" customHeight="1" x14ac:dyDescent="0.25">
      <c r="A106" s="195">
        <v>2</v>
      </c>
      <c r="B106" s="461" t="s">
        <v>59</v>
      </c>
      <c r="C106" s="461"/>
      <c r="D106" s="230" t="s">
        <v>56</v>
      </c>
      <c r="E106" s="238">
        <v>0.48299999999999998</v>
      </c>
      <c r="F106" s="236">
        <f t="shared" ref="F106:F116" si="57">+G106/$O$104</f>
        <v>0.45363191281954263</v>
      </c>
      <c r="G106" s="462">
        <v>99771.439999999944</v>
      </c>
      <c r="H106" s="463"/>
      <c r="I106" s="227">
        <f>+(E106-F106)*$O$104</f>
        <v>6459.1936000000469</v>
      </c>
      <c r="J106" s="233"/>
      <c r="K106" s="237"/>
      <c r="L106" s="237"/>
      <c r="M106" s="59"/>
      <c r="N106" s="54"/>
      <c r="O106" s="55"/>
      <c r="P106" s="55"/>
      <c r="Q106" s="60"/>
      <c r="R106" s="46"/>
    </row>
    <row r="107" spans="1:18" ht="20.25" customHeight="1" x14ac:dyDescent="0.25">
      <c r="A107" s="195">
        <v>3</v>
      </c>
      <c r="B107" s="461" t="s">
        <v>60</v>
      </c>
      <c r="C107" s="461"/>
      <c r="D107" s="230" t="s">
        <v>56</v>
      </c>
      <c r="E107" s="238">
        <v>0.54</v>
      </c>
      <c r="F107" s="236">
        <f t="shared" si="57"/>
        <v>0.51431110052232598</v>
      </c>
      <c r="G107" s="462">
        <v>113117.17199999995</v>
      </c>
      <c r="H107" s="463"/>
      <c r="I107" s="227">
        <f>+(E107-F107)*$O$104</f>
        <v>5649.9960000000492</v>
      </c>
      <c r="J107" s="233"/>
      <c r="K107" s="237"/>
      <c r="L107" s="237"/>
      <c r="M107" s="61"/>
      <c r="O107" s="45"/>
      <c r="R107" s="46"/>
    </row>
    <row r="108" spans="1:18" ht="20.25" customHeight="1" x14ac:dyDescent="0.25">
      <c r="A108" s="195">
        <v>4</v>
      </c>
      <c r="B108" s="461" t="s">
        <v>61</v>
      </c>
      <c r="C108" s="461"/>
      <c r="D108" s="230" t="s">
        <v>62</v>
      </c>
      <c r="E108" s="238">
        <v>0.627</v>
      </c>
      <c r="F108" s="236">
        <f>+G108/$O$104</f>
        <v>0.62528644279873713</v>
      </c>
      <c r="G108" s="462">
        <v>137525</v>
      </c>
      <c r="H108" s="463"/>
      <c r="I108" s="227">
        <f>+(E108-F108)*$O$104</f>
        <v>376.878399999995</v>
      </c>
      <c r="J108" s="233"/>
      <c r="K108" s="473"/>
      <c r="L108" s="474"/>
      <c r="M108" s="475"/>
      <c r="N108" s="64"/>
      <c r="O108" s="458"/>
      <c r="P108" s="459"/>
      <c r="R108" s="46"/>
    </row>
    <row r="109" spans="1:18" ht="20.25" customHeight="1" x14ac:dyDescent="0.25">
      <c r="A109" s="195">
        <v>5</v>
      </c>
      <c r="B109" s="461" t="s">
        <v>63</v>
      </c>
      <c r="C109" s="461"/>
      <c r="D109" s="230" t="s">
        <v>56</v>
      </c>
      <c r="E109" s="238">
        <v>2.5000000000000001E-2</v>
      </c>
      <c r="F109" s="236">
        <f t="shared" si="57"/>
        <v>2.4961443889947768E-2</v>
      </c>
      <c r="G109" s="462">
        <v>5490</v>
      </c>
      <c r="H109" s="463"/>
      <c r="I109" s="227"/>
      <c r="J109" s="233"/>
      <c r="K109" s="473"/>
      <c r="L109" s="474"/>
      <c r="M109" s="475"/>
      <c r="N109" s="64"/>
      <c r="O109" s="45"/>
      <c r="R109" s="46"/>
    </row>
    <row r="110" spans="1:18" ht="20.25" customHeight="1" x14ac:dyDescent="0.25">
      <c r="A110" s="195">
        <v>6</v>
      </c>
      <c r="B110" s="461" t="s">
        <v>64</v>
      </c>
      <c r="C110" s="461"/>
      <c r="D110" s="230" t="s">
        <v>56</v>
      </c>
      <c r="E110" s="255">
        <v>1.09E-2</v>
      </c>
      <c r="F110" s="242">
        <f t="shared" si="57"/>
        <v>1.2276119945875952E-2</v>
      </c>
      <c r="G110" s="462">
        <v>2700</v>
      </c>
      <c r="H110" s="463"/>
      <c r="I110" s="227"/>
      <c r="J110" s="233">
        <f>+(F110-E110)*$O$104</f>
        <v>302.66272000000026</v>
      </c>
      <c r="K110" s="243" t="s">
        <v>274</v>
      </c>
      <c r="L110" s="237"/>
      <c r="M110" s="59"/>
      <c r="O110" s="45"/>
      <c r="R110" s="46"/>
    </row>
    <row r="111" spans="1:18" ht="20.25" customHeight="1" x14ac:dyDescent="0.25">
      <c r="A111" s="195">
        <v>7</v>
      </c>
      <c r="B111" s="461" t="s">
        <v>65</v>
      </c>
      <c r="C111" s="461"/>
      <c r="D111" s="230" t="s">
        <v>56</v>
      </c>
      <c r="E111" s="213">
        <v>1.79</v>
      </c>
      <c r="F111" s="220">
        <f t="shared" si="57"/>
        <v>1.6634779066214664</v>
      </c>
      <c r="G111" s="468">
        <v>365864</v>
      </c>
      <c r="H111" s="469"/>
      <c r="I111" s="227">
        <f>+(E111-F111)*$O$104</f>
        <v>27827.167999999972</v>
      </c>
      <c r="J111" s="233"/>
      <c r="K111" s="470" t="s">
        <v>275</v>
      </c>
      <c r="L111" s="471"/>
      <c r="M111" s="472"/>
      <c r="O111" s="45"/>
      <c r="R111" s="46"/>
    </row>
    <row r="112" spans="1:18" ht="20.25" customHeight="1" x14ac:dyDescent="0.25">
      <c r="A112" s="195">
        <v>8</v>
      </c>
      <c r="B112" s="461" t="s">
        <v>67</v>
      </c>
      <c r="C112" s="461"/>
      <c r="D112" s="230" t="s">
        <v>56</v>
      </c>
      <c r="E112" s="255">
        <v>8.2000000000000007E-3</v>
      </c>
      <c r="F112" s="242">
        <f t="shared" si="57"/>
        <v>8.0022115202746952E-3</v>
      </c>
      <c r="G112" s="462">
        <v>1760</v>
      </c>
      <c r="H112" s="463"/>
      <c r="I112" s="227">
        <f>+(E112-F112)*$O$104</f>
        <v>43.501439999999896</v>
      </c>
      <c r="J112" s="233"/>
      <c r="K112" s="239"/>
      <c r="L112" s="239"/>
      <c r="M112" s="59"/>
      <c r="N112">
        <v>147535.99070101301</v>
      </c>
      <c r="O112" s="6"/>
      <c r="R112" s="46"/>
    </row>
    <row r="113" spans="1:18" ht="20.25" customHeight="1" x14ac:dyDescent="0.25">
      <c r="A113" s="195">
        <v>9</v>
      </c>
      <c r="B113" s="461" t="s">
        <v>68</v>
      </c>
      <c r="C113" s="461"/>
      <c r="D113" s="230" t="s">
        <v>62</v>
      </c>
      <c r="E113" s="238">
        <v>6.4000000000000001E-2</v>
      </c>
      <c r="F113" s="236">
        <f t="shared" si="57"/>
        <v>6.0334856178434773E-2</v>
      </c>
      <c r="G113" s="462">
        <v>13270</v>
      </c>
      <c r="H113" s="463"/>
      <c r="I113" s="227">
        <f>+(E113-F113)*$O$104</f>
        <v>806.10879999999895</v>
      </c>
      <c r="J113" s="233"/>
      <c r="K113" s="239"/>
      <c r="L113" s="239"/>
      <c r="M113" s="59"/>
      <c r="O113" s="45"/>
      <c r="R113" s="46"/>
    </row>
    <row r="114" spans="1:18" ht="20.25" customHeight="1" x14ac:dyDescent="0.25">
      <c r="A114" s="195">
        <v>10</v>
      </c>
      <c r="B114" s="461" t="s">
        <v>69</v>
      </c>
      <c r="C114" s="461"/>
      <c r="D114" s="230" t="s">
        <v>62</v>
      </c>
      <c r="E114" s="255">
        <v>1.5900000000000001E-2</v>
      </c>
      <c r="F114" s="220"/>
      <c r="G114" s="462">
        <v>3493</v>
      </c>
      <c r="H114" s="463"/>
      <c r="I114" s="227"/>
      <c r="J114" s="233"/>
      <c r="K114" s="464" t="s">
        <v>276</v>
      </c>
      <c r="L114" s="464"/>
      <c r="M114" s="59"/>
      <c r="N114" s="64"/>
      <c r="O114" s="45"/>
      <c r="R114" s="46"/>
    </row>
    <row r="115" spans="1:18" ht="20.25" customHeight="1" x14ac:dyDescent="0.25">
      <c r="A115" s="195">
        <v>11</v>
      </c>
      <c r="B115" s="461" t="s">
        <v>71</v>
      </c>
      <c r="C115" s="461"/>
      <c r="D115" s="230" t="s">
        <v>56</v>
      </c>
      <c r="E115" s="238">
        <v>4.8000000000000001E-2</v>
      </c>
      <c r="F115" s="236">
        <f>+G115/$O$104</f>
        <v>0.12332953834514267</v>
      </c>
      <c r="G115" s="458">
        <v>27125</v>
      </c>
      <c r="H115" s="459"/>
      <c r="I115" s="227"/>
      <c r="J115" s="233">
        <f>+(F115-E115)*$O$104</f>
        <v>16567.918400000002</v>
      </c>
      <c r="K115" s="465"/>
      <c r="L115" s="466"/>
      <c r="M115" s="467"/>
      <c r="O115" s="45"/>
      <c r="R115" s="46"/>
    </row>
    <row r="116" spans="1:18" ht="20.25" hidden="1" customHeight="1" x14ac:dyDescent="0.25">
      <c r="A116" s="195">
        <v>12</v>
      </c>
      <c r="B116" s="456" t="s">
        <v>72</v>
      </c>
      <c r="C116" s="457"/>
      <c r="D116" s="230" t="s">
        <v>56</v>
      </c>
      <c r="E116" s="255">
        <v>2.7000000000000001E-3</v>
      </c>
      <c r="F116" s="220">
        <f t="shared" si="57"/>
        <v>0</v>
      </c>
      <c r="G116" s="458"/>
      <c r="H116" s="459"/>
      <c r="I116" s="227"/>
      <c r="J116" s="233"/>
      <c r="K116" s="243"/>
      <c r="L116" s="243"/>
      <c r="M116" s="60"/>
      <c r="O116" s="45"/>
      <c r="R116" s="46"/>
    </row>
    <row r="117" spans="1:18" s="38" customFormat="1" ht="20.25" customHeight="1" x14ac:dyDescent="0.25">
      <c r="A117" s="256" t="s">
        <v>277</v>
      </c>
      <c r="G117" s="257"/>
      <c r="H117" s="258"/>
      <c r="I117" s="259"/>
    </row>
    <row r="118" spans="1:18" s="86" customFormat="1" ht="16.5" customHeight="1" x14ac:dyDescent="0.25">
      <c r="A118" s="460"/>
      <c r="B118" s="460"/>
      <c r="C118" s="460"/>
      <c r="D118" s="460"/>
      <c r="E118" s="460"/>
      <c r="H118" s="260"/>
      <c r="I118" s="260"/>
    </row>
    <row r="119" spans="1:18" s="38" customFormat="1" ht="13.5" customHeight="1" x14ac:dyDescent="0.25">
      <c r="A119" s="261"/>
      <c r="H119" s="258"/>
      <c r="I119" s="259"/>
    </row>
    <row r="120" spans="1:18" s="38" customFormat="1" ht="18.75" customHeight="1" x14ac:dyDescent="0.25">
      <c r="A120" s="261"/>
      <c r="H120" s="258"/>
      <c r="I120" s="259"/>
    </row>
    <row r="121" spans="1:18" s="38" customFormat="1" ht="18.75" customHeight="1" x14ac:dyDescent="0.25">
      <c r="A121" s="261"/>
      <c r="H121" s="258"/>
      <c r="I121" s="259"/>
    </row>
    <row r="122" spans="1:18" s="38" customFormat="1" ht="18.75" customHeight="1" x14ac:dyDescent="0.25">
      <c r="A122" s="261"/>
      <c r="H122" s="258"/>
      <c r="I122" s="259"/>
    </row>
    <row r="123" spans="1:18" s="38" customFormat="1" ht="18.75" customHeight="1" x14ac:dyDescent="0.25">
      <c r="A123" s="261"/>
      <c r="H123" s="258"/>
      <c r="I123" s="259"/>
    </row>
    <row r="124" spans="1:18" s="38" customFormat="1" ht="18.75" customHeight="1" x14ac:dyDescent="0.25">
      <c r="A124" s="261"/>
      <c r="H124" s="258"/>
      <c r="I124" s="259"/>
    </row>
    <row r="125" spans="1:18" s="38" customFormat="1" ht="18.75" customHeight="1" x14ac:dyDescent="0.25">
      <c r="A125" s="261"/>
      <c r="H125" s="258"/>
      <c r="I125" s="259"/>
    </row>
    <row r="126" spans="1:18" s="38" customFormat="1" ht="18.75" customHeight="1" x14ac:dyDescent="0.25">
      <c r="A126" s="261"/>
      <c r="H126" s="258"/>
      <c r="I126" s="259"/>
    </row>
    <row r="127" spans="1:18" ht="18.75" customHeight="1" x14ac:dyDescent="0.25">
      <c r="A127" s="146" t="s">
        <v>90</v>
      </c>
      <c r="B127" s="38"/>
      <c r="C127" s="38"/>
      <c r="D127" s="38"/>
      <c r="E127" s="38"/>
      <c r="F127" s="38"/>
      <c r="G127" s="38"/>
      <c r="H127" s="258"/>
      <c r="I127" s="259"/>
      <c r="J127" s="38"/>
      <c r="K127" s="38"/>
      <c r="L127" s="38"/>
      <c r="M127" s="38"/>
    </row>
    <row r="128" spans="1:18" ht="19.5" customHeight="1" x14ac:dyDescent="0.25">
      <c r="A128" s="443" t="s">
        <v>91</v>
      </c>
      <c r="B128" s="444"/>
      <c r="C128" s="445"/>
      <c r="D128" s="262" t="s">
        <v>92</v>
      </c>
      <c r="E128" s="262" t="s">
        <v>93</v>
      </c>
      <c r="F128" s="262" t="s">
        <v>94</v>
      </c>
      <c r="G128" s="262" t="s">
        <v>95</v>
      </c>
      <c r="H128" s="416" t="s">
        <v>96</v>
      </c>
      <c r="I128" s="416"/>
      <c r="J128" s="262" t="s">
        <v>97</v>
      </c>
      <c r="K128" s="443" t="s">
        <v>35</v>
      </c>
      <c r="L128" s="444"/>
      <c r="M128" s="445"/>
    </row>
    <row r="129" spans="1:15" ht="17.25" customHeight="1" x14ac:dyDescent="0.25">
      <c r="A129" s="263">
        <v>1</v>
      </c>
      <c r="B129" s="441" t="s">
        <v>98</v>
      </c>
      <c r="C129" s="441"/>
      <c r="D129" s="232">
        <v>1</v>
      </c>
      <c r="E129" s="232">
        <v>1</v>
      </c>
      <c r="F129" s="232"/>
      <c r="G129" s="264"/>
      <c r="H129" s="454"/>
      <c r="I129" s="454"/>
      <c r="J129" s="232">
        <f>+E129+F129-G129-H129</f>
        <v>1</v>
      </c>
      <c r="K129" s="443"/>
      <c r="L129" s="444"/>
      <c r="M129" s="445"/>
    </row>
    <row r="130" spans="1:15" ht="17.25" customHeight="1" x14ac:dyDescent="0.25">
      <c r="A130" s="263">
        <v>2</v>
      </c>
      <c r="B130" s="441" t="s">
        <v>99</v>
      </c>
      <c r="C130" s="441"/>
      <c r="D130" s="232">
        <v>5</v>
      </c>
      <c r="E130" s="232">
        <v>5</v>
      </c>
      <c r="F130" s="227"/>
      <c r="G130" s="265"/>
      <c r="H130" s="455"/>
      <c r="I130" s="455"/>
      <c r="J130" s="232">
        <f t="shared" ref="J130:J135" si="58">+E130+F130-G130-H130</f>
        <v>5</v>
      </c>
      <c r="K130" s="443"/>
      <c r="L130" s="444"/>
      <c r="M130" s="445"/>
    </row>
    <row r="131" spans="1:15" ht="17.25" customHeight="1" x14ac:dyDescent="0.25">
      <c r="A131" s="263">
        <v>3</v>
      </c>
      <c r="B131" s="441" t="s">
        <v>100</v>
      </c>
      <c r="C131" s="441"/>
      <c r="D131" s="232">
        <v>25</v>
      </c>
      <c r="E131" s="232">
        <v>25</v>
      </c>
      <c r="F131" s="232"/>
      <c r="G131" s="232"/>
      <c r="H131" s="442"/>
      <c r="I131" s="442"/>
      <c r="J131" s="232">
        <f>+E131+F131-G131-H131</f>
        <v>25</v>
      </c>
      <c r="K131" s="443"/>
      <c r="L131" s="444"/>
      <c r="M131" s="445"/>
    </row>
    <row r="132" spans="1:15" ht="17.25" customHeight="1" x14ac:dyDescent="0.25">
      <c r="A132" s="263">
        <v>4</v>
      </c>
      <c r="B132" s="441" t="s">
        <v>101</v>
      </c>
      <c r="C132" s="441"/>
      <c r="D132" s="232">
        <v>27</v>
      </c>
      <c r="E132" s="232">
        <v>27</v>
      </c>
      <c r="F132" s="232"/>
      <c r="G132" s="264"/>
      <c r="H132" s="449"/>
      <c r="I132" s="450"/>
      <c r="J132" s="232">
        <f t="shared" si="58"/>
        <v>27</v>
      </c>
      <c r="K132" s="451"/>
      <c r="L132" s="452"/>
      <c r="M132" s="453"/>
    </row>
    <row r="133" spans="1:15" ht="17.25" customHeight="1" x14ac:dyDescent="0.25">
      <c r="A133" s="263">
        <v>5</v>
      </c>
      <c r="B133" s="441" t="s">
        <v>102</v>
      </c>
      <c r="C133" s="441"/>
      <c r="D133" s="232">
        <v>43</v>
      </c>
      <c r="E133" s="232">
        <v>41</v>
      </c>
      <c r="F133" s="232"/>
      <c r="G133" s="264"/>
      <c r="H133" s="448"/>
      <c r="I133" s="448"/>
      <c r="J133" s="232">
        <f>+E133+F133-G133-H133</f>
        <v>41</v>
      </c>
      <c r="K133" s="443"/>
      <c r="L133" s="444"/>
      <c r="M133" s="445"/>
    </row>
    <row r="134" spans="1:15" ht="17.25" customHeight="1" x14ac:dyDescent="0.25">
      <c r="A134" s="263">
        <v>6</v>
      </c>
      <c r="B134" s="441" t="s">
        <v>103</v>
      </c>
      <c r="C134" s="441"/>
      <c r="D134" s="232">
        <v>6</v>
      </c>
      <c r="E134" s="232">
        <v>6</v>
      </c>
      <c r="F134" s="232"/>
      <c r="G134" s="232"/>
      <c r="H134" s="442"/>
      <c r="I134" s="442"/>
      <c r="J134" s="232">
        <f t="shared" si="58"/>
        <v>6</v>
      </c>
      <c r="K134" s="443"/>
      <c r="L134" s="444"/>
      <c r="M134" s="445"/>
    </row>
    <row r="135" spans="1:15" ht="17.25" customHeight="1" x14ac:dyDescent="0.25">
      <c r="A135" s="263">
        <v>7</v>
      </c>
      <c r="B135" s="441" t="s">
        <v>104</v>
      </c>
      <c r="C135" s="441"/>
      <c r="D135" s="232">
        <v>1</v>
      </c>
      <c r="E135" s="232">
        <v>1</v>
      </c>
      <c r="F135" s="232"/>
      <c r="G135" s="264"/>
      <c r="H135" s="442"/>
      <c r="I135" s="442"/>
      <c r="J135" s="232">
        <f t="shared" si="58"/>
        <v>1</v>
      </c>
      <c r="K135" s="443"/>
      <c r="L135" s="444"/>
      <c r="M135" s="445"/>
    </row>
    <row r="136" spans="1:15" ht="17.25" customHeight="1" x14ac:dyDescent="0.25">
      <c r="A136" s="443" t="s">
        <v>105</v>
      </c>
      <c r="B136" s="444"/>
      <c r="C136" s="445"/>
      <c r="D136" s="266">
        <f>SUM(D129:D135)</f>
        <v>108</v>
      </c>
      <c r="E136" s="266">
        <f>SUM(E129:E135)</f>
        <v>106</v>
      </c>
      <c r="F136" s="267">
        <f t="shared" ref="F136:H136" si="59">SUM(F129:F135)</f>
        <v>0</v>
      </c>
      <c r="G136" s="268">
        <f t="shared" si="59"/>
        <v>0</v>
      </c>
      <c r="H136" s="446">
        <f t="shared" si="59"/>
        <v>0</v>
      </c>
      <c r="I136" s="447"/>
      <c r="J136" s="266">
        <f>SUM(J129:J135)</f>
        <v>106</v>
      </c>
      <c r="K136" s="443"/>
      <c r="L136" s="444"/>
      <c r="M136" s="445"/>
    </row>
    <row r="137" spans="1:15" ht="28.5" hidden="1" customHeight="1" x14ac:dyDescent="0.25">
      <c r="A137" s="269" t="s">
        <v>278</v>
      </c>
      <c r="B137" s="270"/>
      <c r="C137" s="270"/>
      <c r="D137" s="271"/>
      <c r="E137" s="271"/>
      <c r="F137" s="272"/>
      <c r="G137" s="273"/>
      <c r="H137" s="274"/>
      <c r="I137" s="274"/>
      <c r="J137" s="271"/>
      <c r="K137" s="270"/>
      <c r="L137" s="270"/>
      <c r="M137" s="270"/>
    </row>
    <row r="138" spans="1:15" ht="31.5" hidden="1" customHeight="1" x14ac:dyDescent="0.25">
      <c r="A138" s="275"/>
      <c r="B138" s="276" t="s">
        <v>47</v>
      </c>
      <c r="C138" s="426" t="s">
        <v>107</v>
      </c>
      <c r="D138" s="426"/>
      <c r="E138" s="276" t="s">
        <v>108</v>
      </c>
      <c r="F138" s="276" t="s">
        <v>109</v>
      </c>
      <c r="G138" s="276" t="s">
        <v>110</v>
      </c>
      <c r="H138" s="426" t="s">
        <v>111</v>
      </c>
      <c r="I138" s="426"/>
      <c r="J138" s="426" t="s">
        <v>112</v>
      </c>
      <c r="K138" s="426"/>
      <c r="L138" s="426"/>
      <c r="M138" s="426"/>
    </row>
    <row r="139" spans="1:15" ht="19.5" hidden="1" customHeight="1" x14ac:dyDescent="0.25">
      <c r="A139" s="427" t="s">
        <v>279</v>
      </c>
      <c r="B139" s="277">
        <v>1</v>
      </c>
      <c r="C139" s="430"/>
      <c r="D139" s="431"/>
      <c r="E139" s="278"/>
      <c r="F139" s="279"/>
      <c r="G139" s="280"/>
      <c r="H139" s="430" t="s">
        <v>280</v>
      </c>
      <c r="I139" s="431"/>
      <c r="J139" s="419"/>
      <c r="K139" s="419"/>
      <c r="L139" s="419"/>
      <c r="M139" s="419"/>
    </row>
    <row r="140" spans="1:15" ht="19.5" hidden="1" customHeight="1" x14ac:dyDescent="0.25">
      <c r="A140" s="428"/>
      <c r="B140" s="277">
        <v>2</v>
      </c>
      <c r="C140" s="432"/>
      <c r="D140" s="433"/>
      <c r="E140" s="278"/>
      <c r="F140" s="279"/>
      <c r="G140" s="280"/>
      <c r="H140" s="434"/>
      <c r="I140" s="435"/>
      <c r="J140" s="419"/>
      <c r="K140" s="419"/>
      <c r="L140" s="419"/>
      <c r="M140" s="419"/>
    </row>
    <row r="141" spans="1:15" ht="19.5" hidden="1" customHeight="1" x14ac:dyDescent="0.25">
      <c r="A141" s="428"/>
      <c r="B141" s="277">
        <v>3</v>
      </c>
      <c r="C141" s="420"/>
      <c r="D141" s="421"/>
      <c r="E141" s="278"/>
      <c r="F141" s="279"/>
      <c r="G141" s="280"/>
      <c r="H141" s="436" t="s">
        <v>127</v>
      </c>
      <c r="I141" s="437"/>
      <c r="J141" s="419"/>
      <c r="K141" s="419"/>
      <c r="L141" s="419"/>
      <c r="M141" s="419"/>
    </row>
    <row r="142" spans="1:15" ht="19.5" hidden="1" customHeight="1" x14ac:dyDescent="0.25">
      <c r="A142" s="428"/>
      <c r="B142" s="277">
        <v>4</v>
      </c>
      <c r="C142" s="420"/>
      <c r="D142" s="421"/>
      <c r="E142" s="278"/>
      <c r="F142" s="279"/>
      <c r="G142" s="280"/>
      <c r="H142" s="436" t="s">
        <v>127</v>
      </c>
      <c r="I142" s="437"/>
      <c r="J142" s="419"/>
      <c r="K142" s="419"/>
      <c r="L142" s="419"/>
      <c r="M142" s="419"/>
    </row>
    <row r="143" spans="1:15" ht="19.5" hidden="1" customHeight="1" x14ac:dyDescent="0.25">
      <c r="A143" s="428"/>
      <c r="B143" s="277">
        <v>5</v>
      </c>
      <c r="C143" s="430"/>
      <c r="D143" s="431"/>
      <c r="E143" s="278"/>
      <c r="F143" s="279"/>
      <c r="G143" s="280"/>
      <c r="H143" s="436" t="s">
        <v>281</v>
      </c>
      <c r="I143" s="437"/>
      <c r="J143" s="419"/>
      <c r="K143" s="419"/>
      <c r="L143" s="419"/>
      <c r="M143" s="419"/>
    </row>
    <row r="144" spans="1:15" ht="19.5" hidden="1" customHeight="1" x14ac:dyDescent="0.25">
      <c r="A144" s="428"/>
      <c r="B144" s="277">
        <v>6</v>
      </c>
      <c r="C144" s="432"/>
      <c r="D144" s="433"/>
      <c r="E144" s="278"/>
      <c r="F144" s="279"/>
      <c r="G144" s="280"/>
      <c r="H144" s="419" t="s">
        <v>282</v>
      </c>
      <c r="I144" s="419"/>
      <c r="J144" s="419"/>
      <c r="K144" s="419"/>
      <c r="L144" s="419"/>
      <c r="M144" s="419"/>
      <c r="O144" s="281">
        <f>+G144+G145+G146+G147</f>
        <v>0</v>
      </c>
    </row>
    <row r="145" spans="1:15" ht="19.5" hidden="1" customHeight="1" x14ac:dyDescent="0.25">
      <c r="A145" s="428"/>
      <c r="B145" s="277">
        <v>7</v>
      </c>
      <c r="C145" s="420"/>
      <c r="D145" s="421"/>
      <c r="E145" s="278"/>
      <c r="F145" s="279"/>
      <c r="G145" s="280"/>
      <c r="H145" s="438" t="s">
        <v>283</v>
      </c>
      <c r="I145" s="439"/>
      <c r="J145" s="419"/>
      <c r="K145" s="419"/>
      <c r="L145" s="419"/>
      <c r="M145" s="419"/>
    </row>
    <row r="146" spans="1:15" ht="19.5" hidden="1" customHeight="1" x14ac:dyDescent="0.25">
      <c r="A146" s="428"/>
      <c r="B146" s="277">
        <v>8</v>
      </c>
      <c r="C146" s="440"/>
      <c r="D146" s="440"/>
      <c r="E146" s="278"/>
      <c r="F146" s="279"/>
      <c r="G146" s="280"/>
      <c r="H146" s="419" t="s">
        <v>284</v>
      </c>
      <c r="I146" s="419"/>
      <c r="J146" s="419"/>
      <c r="K146" s="419"/>
      <c r="L146" s="419"/>
      <c r="M146" s="419"/>
    </row>
    <row r="147" spans="1:15" ht="19.5" hidden="1" customHeight="1" x14ac:dyDescent="0.25">
      <c r="A147" s="428"/>
      <c r="B147" s="277">
        <v>9</v>
      </c>
      <c r="C147" s="440"/>
      <c r="D147" s="440"/>
      <c r="E147" s="278"/>
      <c r="F147" s="279"/>
      <c r="G147" s="280"/>
      <c r="H147" s="419"/>
      <c r="I147" s="419"/>
      <c r="J147" s="419"/>
      <c r="K147" s="419"/>
      <c r="L147" s="419"/>
      <c r="M147" s="419"/>
    </row>
    <row r="148" spans="1:15" ht="19.5" hidden="1" customHeight="1" x14ac:dyDescent="0.25">
      <c r="A148" s="428"/>
      <c r="B148" s="277">
        <v>10</v>
      </c>
      <c r="C148" s="440"/>
      <c r="D148" s="440"/>
      <c r="E148" s="278"/>
      <c r="F148" s="279"/>
      <c r="G148" s="280"/>
      <c r="H148" s="419"/>
      <c r="I148" s="419"/>
      <c r="J148" s="419"/>
      <c r="K148" s="419"/>
      <c r="L148" s="419"/>
      <c r="M148" s="419"/>
    </row>
    <row r="149" spans="1:15" ht="19.5" hidden="1" customHeight="1" x14ac:dyDescent="0.25">
      <c r="A149" s="428"/>
      <c r="B149" s="277"/>
      <c r="C149" s="440"/>
      <c r="D149" s="440"/>
      <c r="E149" s="278"/>
      <c r="F149" s="279"/>
      <c r="G149" s="280"/>
      <c r="H149" s="419"/>
      <c r="I149" s="419"/>
      <c r="J149" s="419"/>
      <c r="K149" s="419"/>
      <c r="L149" s="419"/>
      <c r="M149" s="419"/>
    </row>
    <row r="150" spans="1:15" ht="19.5" hidden="1" customHeight="1" x14ac:dyDescent="0.25">
      <c r="A150" s="429"/>
      <c r="B150" s="277">
        <v>11</v>
      </c>
      <c r="C150" s="420"/>
      <c r="D150" s="421"/>
      <c r="E150" s="278"/>
      <c r="F150" s="279"/>
      <c r="G150" s="280"/>
      <c r="H150" s="419" t="s">
        <v>285</v>
      </c>
      <c r="I150" s="419"/>
      <c r="J150" s="419"/>
      <c r="K150" s="419"/>
      <c r="L150" s="419"/>
      <c r="M150" s="419"/>
    </row>
    <row r="151" spans="1:15" ht="19.5" hidden="1" customHeight="1" x14ac:dyDescent="0.25">
      <c r="A151" s="422" t="s">
        <v>286</v>
      </c>
      <c r="B151" s="423"/>
      <c r="C151" s="423"/>
      <c r="D151" s="423"/>
      <c r="E151" s="423"/>
      <c r="F151" s="424"/>
      <c r="G151" s="282">
        <f>SUM(G139:G150)</f>
        <v>0</v>
      </c>
      <c r="H151" s="425"/>
      <c r="I151" s="425"/>
      <c r="J151" s="425"/>
      <c r="K151" s="425"/>
      <c r="L151" s="425"/>
      <c r="M151" s="425"/>
    </row>
    <row r="152" spans="1:15" ht="25.5" customHeight="1" x14ac:dyDescent="0.25">
      <c r="A152" s="146" t="s">
        <v>287</v>
      </c>
      <c r="B152" s="38"/>
      <c r="C152" s="38"/>
      <c r="D152" s="38"/>
      <c r="E152" s="38"/>
      <c r="F152" s="38"/>
      <c r="G152" s="38"/>
      <c r="H152" s="283"/>
      <c r="I152" s="284"/>
      <c r="J152" s="38"/>
      <c r="K152" s="38"/>
      <c r="L152" s="38"/>
      <c r="M152" s="38"/>
    </row>
    <row r="153" spans="1:15" ht="20.25" customHeight="1" x14ac:dyDescent="0.25">
      <c r="A153" s="146" t="s">
        <v>288</v>
      </c>
      <c r="B153" s="38"/>
      <c r="C153" s="38"/>
      <c r="D153" s="38"/>
      <c r="E153" s="38"/>
      <c r="F153" s="38"/>
      <c r="G153" s="38"/>
      <c r="H153" s="283"/>
      <c r="I153" s="284"/>
      <c r="J153" s="38"/>
      <c r="K153" s="38"/>
      <c r="L153" s="38"/>
      <c r="M153" s="38"/>
    </row>
    <row r="154" spans="1:15" ht="21.75" customHeight="1" x14ac:dyDescent="0.25">
      <c r="A154" s="285" t="s">
        <v>289</v>
      </c>
      <c r="B154" s="38"/>
      <c r="C154" s="38"/>
      <c r="D154" s="38"/>
      <c r="E154" s="38"/>
      <c r="F154" s="38"/>
      <c r="G154" s="38"/>
      <c r="H154" s="258"/>
      <c r="I154" s="259"/>
      <c r="J154" s="38"/>
      <c r="K154" s="38"/>
      <c r="L154" s="38"/>
      <c r="M154" s="38"/>
    </row>
    <row r="155" spans="1:15" ht="21" hidden="1" customHeight="1" x14ac:dyDescent="0.25">
      <c r="A155" s="413" t="s">
        <v>6</v>
      </c>
      <c r="B155" s="414"/>
      <c r="C155" s="415" t="s">
        <v>138</v>
      </c>
      <c r="D155" s="407" t="s">
        <v>8</v>
      </c>
      <c r="E155" s="407"/>
      <c r="F155" s="407"/>
      <c r="G155" s="417" t="s">
        <v>139</v>
      </c>
      <c r="H155" s="418" t="s">
        <v>140</v>
      </c>
      <c r="I155" s="286" t="s">
        <v>141</v>
      </c>
      <c r="J155" s="287" t="s">
        <v>12</v>
      </c>
      <c r="K155" s="287" t="s">
        <v>13</v>
      </c>
      <c r="L155" s="287" t="s">
        <v>14</v>
      </c>
      <c r="M155" s="288" t="s">
        <v>142</v>
      </c>
    </row>
    <row r="156" spans="1:15" ht="21" hidden="1" customHeight="1" x14ac:dyDescent="0.25">
      <c r="A156" s="287" t="s">
        <v>143</v>
      </c>
      <c r="B156" s="287" t="s">
        <v>17</v>
      </c>
      <c r="C156" s="416"/>
      <c r="D156" s="287" t="s">
        <v>18</v>
      </c>
      <c r="E156" s="287" t="s">
        <v>19</v>
      </c>
      <c r="F156" s="287" t="s">
        <v>20</v>
      </c>
      <c r="G156" s="417"/>
      <c r="H156" s="409"/>
      <c r="I156" s="286" t="s">
        <v>144</v>
      </c>
      <c r="J156" s="287"/>
      <c r="K156" s="287" t="s">
        <v>22</v>
      </c>
      <c r="L156" s="287" t="s">
        <v>23</v>
      </c>
      <c r="M156" s="287" t="s">
        <v>24</v>
      </c>
    </row>
    <row r="157" spans="1:15" ht="21" hidden="1" customHeight="1" x14ac:dyDescent="0.25">
      <c r="A157" s="407" t="s">
        <v>146</v>
      </c>
      <c r="B157" s="206" t="s">
        <v>21</v>
      </c>
      <c r="C157" s="289">
        <f>+(G157*100)/98</f>
        <v>0</v>
      </c>
      <c r="D157" s="290">
        <f>D158*G157/100</f>
        <v>0</v>
      </c>
      <c r="E157" s="290">
        <f>E158*G157/100</f>
        <v>0</v>
      </c>
      <c r="F157" s="290">
        <f>F158*G157/100</f>
        <v>0</v>
      </c>
      <c r="G157" s="290"/>
      <c r="H157" s="199"/>
      <c r="I157" s="200">
        <v>15015</v>
      </c>
      <c r="J157" s="291"/>
      <c r="K157" s="291"/>
      <c r="L157" s="292"/>
      <c r="M157" s="291"/>
    </row>
    <row r="158" spans="1:15" ht="21" hidden="1" customHeight="1" x14ac:dyDescent="0.25">
      <c r="A158" s="407"/>
      <c r="B158" s="206" t="s">
        <v>26</v>
      </c>
      <c r="C158" s="293"/>
      <c r="D158" s="202">
        <v>90</v>
      </c>
      <c r="E158" s="202">
        <v>7</v>
      </c>
      <c r="F158" s="202">
        <v>3</v>
      </c>
      <c r="G158" s="202">
        <v>100</v>
      </c>
      <c r="H158" s="294"/>
      <c r="I158" s="295"/>
      <c r="J158" s="199">
        <v>98</v>
      </c>
      <c r="K158" s="410">
        <f>100-J158</f>
        <v>2</v>
      </c>
      <c r="L158" s="410"/>
      <c r="M158" s="292">
        <v>40</v>
      </c>
      <c r="O158" s="46"/>
    </row>
    <row r="159" spans="1:15" ht="21" hidden="1" customHeight="1" x14ac:dyDescent="0.25">
      <c r="A159" s="407" t="s">
        <v>146</v>
      </c>
      <c r="B159" s="206" t="s">
        <v>21</v>
      </c>
      <c r="C159" s="293">
        <f>+($G$159*100)/98</f>
        <v>0</v>
      </c>
      <c r="D159" s="290">
        <f>D160*G159/100</f>
        <v>0</v>
      </c>
      <c r="E159" s="290">
        <f>E160*G159/100</f>
        <v>0</v>
      </c>
      <c r="F159" s="290">
        <f>F160*G159/100</f>
        <v>0</v>
      </c>
      <c r="G159" s="290"/>
      <c r="H159" s="199"/>
      <c r="I159" s="200"/>
      <c r="J159" s="291"/>
      <c r="K159" s="291"/>
      <c r="L159" s="292"/>
      <c r="M159" s="291"/>
    </row>
    <row r="160" spans="1:15" ht="21" hidden="1" customHeight="1" x14ac:dyDescent="0.25">
      <c r="A160" s="407"/>
      <c r="B160" s="206" t="s">
        <v>26</v>
      </c>
      <c r="C160" s="293"/>
      <c r="D160" s="202">
        <v>89</v>
      </c>
      <c r="E160" s="202">
        <v>8</v>
      </c>
      <c r="F160" s="202">
        <v>3</v>
      </c>
      <c r="G160" s="202">
        <v>100</v>
      </c>
      <c r="H160" s="294"/>
      <c r="I160" s="295"/>
      <c r="J160" s="199">
        <v>98</v>
      </c>
      <c r="K160" s="410">
        <f>100-J160</f>
        <v>2</v>
      </c>
      <c r="L160" s="410"/>
      <c r="M160" s="292">
        <v>40</v>
      </c>
    </row>
    <row r="161" spans="1:17" ht="21" hidden="1" customHeight="1" x14ac:dyDescent="0.25">
      <c r="A161" s="407" t="s">
        <v>147</v>
      </c>
      <c r="B161" s="206" t="s">
        <v>21</v>
      </c>
      <c r="C161" s="293">
        <f>+C157+C159</f>
        <v>0</v>
      </c>
      <c r="D161" s="290">
        <f>+D157+D159</f>
        <v>0</v>
      </c>
      <c r="E161" s="290">
        <f>+E157+E159</f>
        <v>0</v>
      </c>
      <c r="F161" s="290">
        <f>+F157+F159</f>
        <v>0</v>
      </c>
      <c r="G161" s="290">
        <f>SUM(D161:F161)</f>
        <v>0</v>
      </c>
      <c r="H161" s="199">
        <f>+H157+H159</f>
        <v>0</v>
      </c>
      <c r="I161" s="200" t="e">
        <f>+G161/H161</f>
        <v>#DIV/0!</v>
      </c>
      <c r="J161" s="295"/>
      <c r="K161" s="291"/>
      <c r="L161" s="292"/>
      <c r="M161" s="292"/>
    </row>
    <row r="162" spans="1:17" ht="21" hidden="1" customHeight="1" x14ac:dyDescent="0.25">
      <c r="A162" s="407"/>
      <c r="B162" s="206" t="s">
        <v>26</v>
      </c>
      <c r="C162" s="278"/>
      <c r="D162" s="296" t="e">
        <f>+D161/G161*100</f>
        <v>#DIV/0!</v>
      </c>
      <c r="E162" s="296" t="e">
        <f>+E161/G161*100</f>
        <v>#DIV/0!</v>
      </c>
      <c r="F162" s="296" t="e">
        <f>+F161/G161*100</f>
        <v>#DIV/0!</v>
      </c>
      <c r="G162" s="202">
        <v>100</v>
      </c>
      <c r="H162" s="294"/>
      <c r="I162" s="294"/>
      <c r="J162" s="199">
        <v>98</v>
      </c>
      <c r="K162" s="410">
        <f>100-J162</f>
        <v>2</v>
      </c>
      <c r="L162" s="410"/>
      <c r="M162" s="292"/>
    </row>
    <row r="163" spans="1:17" ht="24" hidden="1" customHeight="1" x14ac:dyDescent="0.25">
      <c r="A163" s="285" t="s">
        <v>290</v>
      </c>
      <c r="B163" s="297"/>
      <c r="C163" s="38"/>
      <c r="D163" s="38"/>
      <c r="E163" s="38"/>
      <c r="F163" s="38"/>
      <c r="G163" s="38"/>
      <c r="H163" s="258"/>
      <c r="I163" s="259"/>
      <c r="J163" s="38"/>
      <c r="K163" s="38"/>
      <c r="L163" s="38"/>
      <c r="M163" s="38"/>
    </row>
    <row r="164" spans="1:17" ht="21" hidden="1" customHeight="1" x14ac:dyDescent="0.25">
      <c r="A164" s="413" t="s">
        <v>6</v>
      </c>
      <c r="B164" s="414"/>
      <c r="C164" s="415" t="s">
        <v>138</v>
      </c>
      <c r="D164" s="407" t="s">
        <v>8</v>
      </c>
      <c r="E164" s="407"/>
      <c r="F164" s="407"/>
      <c r="G164" s="417" t="s">
        <v>139</v>
      </c>
      <c r="H164" s="418" t="s">
        <v>149</v>
      </c>
      <c r="I164" s="298" t="s">
        <v>141</v>
      </c>
      <c r="J164" s="409" t="s">
        <v>12</v>
      </c>
      <c r="K164" s="287" t="s">
        <v>13</v>
      </c>
      <c r="L164" s="287" t="s">
        <v>14</v>
      </c>
      <c r="M164" s="288" t="s">
        <v>142</v>
      </c>
    </row>
    <row r="165" spans="1:17" ht="21" hidden="1" customHeight="1" x14ac:dyDescent="0.25">
      <c r="A165" s="287" t="s">
        <v>151</v>
      </c>
      <c r="B165" s="287" t="s">
        <v>17</v>
      </c>
      <c r="C165" s="416"/>
      <c r="D165" s="287" t="s">
        <v>18</v>
      </c>
      <c r="E165" s="287" t="s">
        <v>19</v>
      </c>
      <c r="F165" s="287" t="s">
        <v>20</v>
      </c>
      <c r="G165" s="407"/>
      <c r="H165" s="418"/>
      <c r="I165" s="286" t="s">
        <v>144</v>
      </c>
      <c r="J165" s="409"/>
      <c r="K165" s="287" t="s">
        <v>22</v>
      </c>
      <c r="L165" s="287" t="s">
        <v>23</v>
      </c>
      <c r="M165" s="287" t="s">
        <v>24</v>
      </c>
    </row>
    <row r="166" spans="1:17" ht="21" hidden="1" customHeight="1" x14ac:dyDescent="0.25">
      <c r="A166" s="407" t="s">
        <v>146</v>
      </c>
      <c r="B166" s="206" t="s">
        <v>21</v>
      </c>
      <c r="C166" s="293">
        <f>+(G166*100)/98.2</f>
        <v>0</v>
      </c>
      <c r="D166" s="299">
        <f>D167*G166/100</f>
        <v>0</v>
      </c>
      <c r="E166" s="299">
        <f>E167*G166/100</f>
        <v>0</v>
      </c>
      <c r="F166" s="299">
        <f>F167*G166/100</f>
        <v>0</v>
      </c>
      <c r="G166" s="299"/>
      <c r="H166" s="199"/>
      <c r="I166" s="300">
        <v>15315</v>
      </c>
      <c r="J166" s="301"/>
      <c r="K166" s="292"/>
      <c r="L166" s="292"/>
      <c r="M166" s="302"/>
      <c r="O166" s="131"/>
    </row>
    <row r="167" spans="1:17" ht="21" hidden="1" customHeight="1" x14ac:dyDescent="0.25">
      <c r="A167" s="407"/>
      <c r="B167" s="206" t="s">
        <v>26</v>
      </c>
      <c r="C167" s="278"/>
      <c r="D167" s="202">
        <v>92</v>
      </c>
      <c r="E167" s="202">
        <v>6</v>
      </c>
      <c r="F167" s="202">
        <v>2</v>
      </c>
      <c r="G167" s="202">
        <v>100</v>
      </c>
      <c r="H167" s="301"/>
      <c r="I167" s="300"/>
      <c r="J167" s="303">
        <v>98.2</v>
      </c>
      <c r="K167" s="408">
        <f>100-J167</f>
        <v>1.7999999999999972</v>
      </c>
      <c r="L167" s="408"/>
      <c r="M167" s="304">
        <v>25</v>
      </c>
      <c r="N167" s="131"/>
    </row>
    <row r="168" spans="1:17" ht="21" hidden="1" customHeight="1" x14ac:dyDescent="0.25">
      <c r="A168" s="407" t="s">
        <v>146</v>
      </c>
      <c r="B168" s="206" t="s">
        <v>21</v>
      </c>
      <c r="C168" s="293">
        <f>+(G168*100)/98</f>
        <v>0</v>
      </c>
      <c r="D168" s="299">
        <f>D169*G168/100</f>
        <v>0</v>
      </c>
      <c r="E168" s="299">
        <f>E169*G168/100</f>
        <v>0</v>
      </c>
      <c r="F168" s="299">
        <f>F169*G168/100</f>
        <v>0</v>
      </c>
      <c r="G168" s="299"/>
      <c r="H168" s="199"/>
      <c r="I168" s="300"/>
      <c r="J168" s="301"/>
      <c r="K168" s="292"/>
      <c r="L168" s="292"/>
      <c r="M168" s="302"/>
      <c r="O168" s="131"/>
    </row>
    <row r="169" spans="1:17" ht="21" hidden="1" customHeight="1" x14ac:dyDescent="0.25">
      <c r="A169" s="407"/>
      <c r="B169" s="206" t="s">
        <v>26</v>
      </c>
      <c r="C169" s="278"/>
      <c r="D169" s="202">
        <v>91</v>
      </c>
      <c r="E169" s="202">
        <v>6</v>
      </c>
      <c r="F169" s="202">
        <v>3</v>
      </c>
      <c r="G169" s="202">
        <v>100</v>
      </c>
      <c r="H169" s="301"/>
      <c r="I169" s="300"/>
      <c r="J169" s="303">
        <v>98</v>
      </c>
      <c r="K169" s="408">
        <f>100-J169</f>
        <v>2</v>
      </c>
      <c r="L169" s="408"/>
      <c r="M169" s="304"/>
      <c r="N169" s="131"/>
    </row>
    <row r="170" spans="1:17" ht="21" hidden="1" customHeight="1" x14ac:dyDescent="0.25">
      <c r="A170" s="407" t="s">
        <v>147</v>
      </c>
      <c r="B170" s="206" t="s">
        <v>21</v>
      </c>
      <c r="C170" s="299">
        <f>+C166+C168</f>
        <v>0</v>
      </c>
      <c r="D170" s="299">
        <f>+D166+D168</f>
        <v>0</v>
      </c>
      <c r="E170" s="299">
        <f>+E166+E168</f>
        <v>0</v>
      </c>
      <c r="F170" s="299">
        <f>+F166+F168</f>
        <v>0</v>
      </c>
      <c r="G170" s="299">
        <f>+G166+G168</f>
        <v>0</v>
      </c>
      <c r="H170" s="303">
        <v>30</v>
      </c>
      <c r="I170" s="300">
        <f>+G170/H170</f>
        <v>0</v>
      </c>
      <c r="J170" s="301"/>
      <c r="K170" s="301"/>
      <c r="L170" s="301"/>
      <c r="M170" s="302"/>
    </row>
    <row r="171" spans="1:17" ht="21" hidden="1" customHeight="1" x14ac:dyDescent="0.25">
      <c r="A171" s="407"/>
      <c r="B171" s="206" t="s">
        <v>26</v>
      </c>
      <c r="C171" s="278"/>
      <c r="D171" s="305" t="e">
        <f>+D170/G170</f>
        <v>#DIV/0!</v>
      </c>
      <c r="E171" s="306" t="e">
        <f>+E170/G170</f>
        <v>#DIV/0!</v>
      </c>
      <c r="F171" s="305" t="e">
        <f>+F170/G170</f>
        <v>#DIV/0!</v>
      </c>
      <c r="G171" s="202">
        <v>100</v>
      </c>
      <c r="H171" s="301"/>
      <c r="I171" s="301"/>
      <c r="J171" s="303">
        <v>98.2</v>
      </c>
      <c r="K171" s="408">
        <f>100-J171</f>
        <v>1.7999999999999972</v>
      </c>
      <c r="L171" s="408"/>
      <c r="M171" s="302"/>
    </row>
    <row r="172" spans="1:17" ht="6" customHeight="1" x14ac:dyDescent="0.25">
      <c r="A172" s="38"/>
      <c r="B172" s="38"/>
      <c r="C172" s="38"/>
      <c r="D172" s="38"/>
      <c r="E172" s="38"/>
      <c r="F172" s="38"/>
      <c r="G172" s="38"/>
      <c r="H172" s="258"/>
      <c r="I172" s="259"/>
      <c r="J172" s="38"/>
      <c r="K172" s="38"/>
      <c r="L172" s="38"/>
      <c r="M172" s="38"/>
    </row>
    <row r="173" spans="1:17" ht="21" customHeight="1" x14ac:dyDescent="0.25">
      <c r="A173" s="146" t="s">
        <v>291</v>
      </c>
      <c r="B173" s="38"/>
      <c r="C173" s="38"/>
      <c r="D173" s="38"/>
      <c r="E173" s="38"/>
      <c r="F173" s="38"/>
      <c r="G173" s="38"/>
      <c r="H173" s="258"/>
      <c r="I173" s="259"/>
      <c r="J173" s="38"/>
      <c r="K173" s="38"/>
      <c r="L173" s="38"/>
    </row>
    <row r="174" spans="1:17" ht="15.75" x14ac:dyDescent="0.25">
      <c r="A174" s="307" t="s">
        <v>292</v>
      </c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Q174" t="e">
        <v>#REF!</v>
      </c>
    </row>
    <row r="175" spans="1:17" ht="15" customHeight="1" x14ac:dyDescent="0.25">
      <c r="A175" s="146" t="s">
        <v>154</v>
      </c>
      <c r="B175" s="38"/>
      <c r="C175" s="38"/>
      <c r="D175" s="38"/>
      <c r="E175" s="38"/>
      <c r="F175" s="38"/>
      <c r="G175" s="38"/>
      <c r="H175" s="258"/>
      <c r="I175" s="259"/>
      <c r="J175" s="38"/>
      <c r="K175" s="38"/>
      <c r="L175" s="38"/>
    </row>
    <row r="176" spans="1:17" ht="15.75" x14ac:dyDescent="0.25">
      <c r="A176" s="411"/>
      <c r="B176" s="411"/>
      <c r="C176" s="411"/>
      <c r="D176" s="411"/>
      <c r="E176" s="411"/>
      <c r="F176" s="411"/>
      <c r="G176" s="411"/>
      <c r="H176" s="411"/>
      <c r="I176" s="411"/>
      <c r="J176" s="411"/>
      <c r="K176" s="411"/>
      <c r="L176" s="411"/>
      <c r="M176" s="411"/>
    </row>
    <row r="177" spans="1:13" ht="15" customHeight="1" x14ac:dyDescent="0.25">
      <c r="A177" s="412" t="s">
        <v>156</v>
      </c>
      <c r="B177" s="412"/>
      <c r="C177" s="412"/>
      <c r="D177" s="412"/>
      <c r="E177" s="412"/>
      <c r="F177" s="412"/>
      <c r="G177" s="412"/>
      <c r="H177" s="412"/>
      <c r="I177" s="412"/>
      <c r="J177" s="412"/>
      <c r="K177" s="412"/>
      <c r="L177" s="412"/>
      <c r="M177" s="412"/>
    </row>
    <row r="178" spans="1:13" ht="15" customHeight="1" x14ac:dyDescent="0.25">
      <c r="A178" s="308" t="s">
        <v>293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</row>
    <row r="179" spans="1:13" ht="10.5" customHeight="1" x14ac:dyDescent="0.25">
      <c r="A179" s="308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</row>
    <row r="180" spans="1:13" ht="19.5" customHeight="1" x14ac:dyDescent="0.25">
      <c r="A180" s="147" t="s">
        <v>158</v>
      </c>
      <c r="B180" s="38"/>
      <c r="C180" s="38"/>
      <c r="D180" s="38"/>
      <c r="E180" s="38"/>
      <c r="F180" s="38"/>
      <c r="H180" s="258"/>
      <c r="I180" s="259"/>
      <c r="J180" s="147" t="s">
        <v>294</v>
      </c>
      <c r="K180" s="38"/>
      <c r="L180" s="38"/>
    </row>
    <row r="181" spans="1:13" ht="19.5" customHeight="1" x14ac:dyDescent="0.25">
      <c r="D181" s="405" t="s">
        <v>160</v>
      </c>
      <c r="E181" s="405"/>
      <c r="K181" s="146" t="s">
        <v>161</v>
      </c>
    </row>
    <row r="182" spans="1:13" ht="15.75" x14ac:dyDescent="0.25">
      <c r="A182" s="147"/>
    </row>
    <row r="183" spans="1:13" x14ac:dyDescent="0.25">
      <c r="A183" s="310" t="s">
        <v>162</v>
      </c>
    </row>
    <row r="184" spans="1:13" x14ac:dyDescent="0.25">
      <c r="A184" s="145" t="s">
        <v>295</v>
      </c>
    </row>
    <row r="185" spans="1:13" x14ac:dyDescent="0.25">
      <c r="A185" s="145" t="s">
        <v>296</v>
      </c>
    </row>
    <row r="186" spans="1:13" ht="15.75" x14ac:dyDescent="0.25">
      <c r="A186" s="311" t="s">
        <v>165</v>
      </c>
      <c r="K186" s="406" t="s">
        <v>166</v>
      </c>
      <c r="L186" s="406"/>
    </row>
    <row r="187" spans="1:13" ht="15.75" x14ac:dyDescent="0.25">
      <c r="A187" s="145"/>
      <c r="K187" s="406"/>
      <c r="L187" s="406"/>
    </row>
    <row r="188" spans="1:13" x14ac:dyDescent="0.25">
      <c r="A188" s="311"/>
    </row>
    <row r="189" spans="1:13" x14ac:dyDescent="0.25">
      <c r="A189" s="145"/>
    </row>
    <row r="190" spans="1:13" x14ac:dyDescent="0.25">
      <c r="A190" s="145"/>
    </row>
    <row r="191" spans="1:13" x14ac:dyDescent="0.25">
      <c r="A191" s="145"/>
    </row>
    <row r="196" spans="1:1" ht="15.75" x14ac:dyDescent="0.25">
      <c r="A196" s="146"/>
    </row>
    <row r="197" spans="1:1" ht="15.75" x14ac:dyDescent="0.25">
      <c r="A197" s="146"/>
    </row>
    <row r="198" spans="1:1" ht="15.75" x14ac:dyDescent="0.25">
      <c r="A198" s="146"/>
    </row>
    <row r="199" spans="1:1" ht="15.75" x14ac:dyDescent="0.25">
      <c r="A199" s="146"/>
    </row>
    <row r="200" spans="1:1" ht="15.75" x14ac:dyDescent="0.25">
      <c r="A200" s="146"/>
    </row>
    <row r="201" spans="1:1" ht="15.75" x14ac:dyDescent="0.25">
      <c r="A201" s="147"/>
    </row>
  </sheetData>
  <mergeCells count="421">
    <mergeCell ref="A4:M4"/>
    <mergeCell ref="A9:B9"/>
    <mergeCell ref="D9:F9"/>
    <mergeCell ref="G9:G10"/>
    <mergeCell ref="H9:H10"/>
    <mergeCell ref="J9:J10"/>
    <mergeCell ref="A19:A20"/>
    <mergeCell ref="K20:L20"/>
    <mergeCell ref="A21:A22"/>
    <mergeCell ref="A23:A24"/>
    <mergeCell ref="K23:L23"/>
    <mergeCell ref="K24:L24"/>
    <mergeCell ref="A11:A12"/>
    <mergeCell ref="K12:L12"/>
    <mergeCell ref="A13:A14"/>
    <mergeCell ref="K14:L14"/>
    <mergeCell ref="A15:A16"/>
    <mergeCell ref="A17:A18"/>
    <mergeCell ref="K18:L18"/>
    <mergeCell ref="A32:A33"/>
    <mergeCell ref="B32:C32"/>
    <mergeCell ref="D32:E32"/>
    <mergeCell ref="F32:G32"/>
    <mergeCell ref="H32:I32"/>
    <mergeCell ref="J32:K32"/>
    <mergeCell ref="A25:A26"/>
    <mergeCell ref="K26:L26"/>
    <mergeCell ref="A30:A31"/>
    <mergeCell ref="B30:I30"/>
    <mergeCell ref="J30:K31"/>
    <mergeCell ref="L30:M31"/>
    <mergeCell ref="B31:C31"/>
    <mergeCell ref="D31:E31"/>
    <mergeCell ref="F31:G31"/>
    <mergeCell ref="H31:I31"/>
    <mergeCell ref="L32:M41"/>
    <mergeCell ref="B33:C33"/>
    <mergeCell ref="D33:E33"/>
    <mergeCell ref="F33:G33"/>
    <mergeCell ref="H33:I33"/>
    <mergeCell ref="J33:K33"/>
    <mergeCell ref="J35:K35"/>
    <mergeCell ref="J37:K37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A34:A35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D38:E38"/>
    <mergeCell ref="F38:G38"/>
    <mergeCell ref="H38:I38"/>
    <mergeCell ref="J38:K38"/>
    <mergeCell ref="B39:C39"/>
    <mergeCell ref="D39:E39"/>
    <mergeCell ref="F39:G39"/>
    <mergeCell ref="H39:I39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39:K39"/>
    <mergeCell ref="J41:K41"/>
    <mergeCell ref="A38:A39"/>
    <mergeCell ref="B38:C38"/>
    <mergeCell ref="J43:K43"/>
    <mergeCell ref="A44:A45"/>
    <mergeCell ref="B44:C44"/>
    <mergeCell ref="D44:E44"/>
    <mergeCell ref="F44:G44"/>
    <mergeCell ref="H44:I44"/>
    <mergeCell ref="J44:K44"/>
    <mergeCell ref="B45:C45"/>
    <mergeCell ref="D45:E45"/>
    <mergeCell ref="F45:G45"/>
    <mergeCell ref="A42:A43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H45:I45"/>
    <mergeCell ref="J45:K45"/>
    <mergeCell ref="A47:A48"/>
    <mergeCell ref="B47:I47"/>
    <mergeCell ref="J47:K48"/>
    <mergeCell ref="L47:M48"/>
    <mergeCell ref="B48:C48"/>
    <mergeCell ref="D48:E48"/>
    <mergeCell ref="F48:G48"/>
    <mergeCell ref="H48:I48"/>
    <mergeCell ref="L49:M50"/>
    <mergeCell ref="B50:C50"/>
    <mergeCell ref="D50:E50"/>
    <mergeCell ref="F50:G50"/>
    <mergeCell ref="H50:I50"/>
    <mergeCell ref="J50:K50"/>
    <mergeCell ref="A49:A50"/>
    <mergeCell ref="B49:C49"/>
    <mergeCell ref="D49:E49"/>
    <mergeCell ref="F49:G49"/>
    <mergeCell ref="H49:I49"/>
    <mergeCell ref="J49:K49"/>
    <mergeCell ref="L51:M52"/>
    <mergeCell ref="B52:C52"/>
    <mergeCell ref="D52:E52"/>
    <mergeCell ref="F52:G52"/>
    <mergeCell ref="H52:I52"/>
    <mergeCell ref="J52:K52"/>
    <mergeCell ref="A51:A52"/>
    <mergeCell ref="B51:C51"/>
    <mergeCell ref="D51:E51"/>
    <mergeCell ref="F51:G51"/>
    <mergeCell ref="H51:I51"/>
    <mergeCell ref="J51:K51"/>
    <mergeCell ref="L53:M54"/>
    <mergeCell ref="B54:C54"/>
    <mergeCell ref="D54:E54"/>
    <mergeCell ref="F54:G54"/>
    <mergeCell ref="H54:I54"/>
    <mergeCell ref="J54:K54"/>
    <mergeCell ref="A53:A54"/>
    <mergeCell ref="B53:C53"/>
    <mergeCell ref="D53:E53"/>
    <mergeCell ref="F53:G53"/>
    <mergeCell ref="H53:I53"/>
    <mergeCell ref="J53:K53"/>
    <mergeCell ref="L55:M56"/>
    <mergeCell ref="B56:C56"/>
    <mergeCell ref="D56:E56"/>
    <mergeCell ref="F56:G56"/>
    <mergeCell ref="H56:I56"/>
    <mergeCell ref="J56:K56"/>
    <mergeCell ref="A55:A56"/>
    <mergeCell ref="B55:C55"/>
    <mergeCell ref="D55:E55"/>
    <mergeCell ref="F55:G55"/>
    <mergeCell ref="H55:I55"/>
    <mergeCell ref="J55:K55"/>
    <mergeCell ref="L57:M58"/>
    <mergeCell ref="B58:C58"/>
    <mergeCell ref="D58:E58"/>
    <mergeCell ref="F58:G58"/>
    <mergeCell ref="H58:I58"/>
    <mergeCell ref="J58:K58"/>
    <mergeCell ref="A57:A58"/>
    <mergeCell ref="B57:C57"/>
    <mergeCell ref="D57:E57"/>
    <mergeCell ref="F57:G57"/>
    <mergeCell ref="H57:I57"/>
    <mergeCell ref="J57:K57"/>
    <mergeCell ref="L59:M60"/>
    <mergeCell ref="B60:C60"/>
    <mergeCell ref="D60:E60"/>
    <mergeCell ref="F60:G60"/>
    <mergeCell ref="H60:I60"/>
    <mergeCell ref="J60:K60"/>
    <mergeCell ref="A59:A60"/>
    <mergeCell ref="B59:C59"/>
    <mergeCell ref="D59:E59"/>
    <mergeCell ref="F59:G59"/>
    <mergeCell ref="H59:I59"/>
    <mergeCell ref="J59:K59"/>
    <mergeCell ref="L61:M62"/>
    <mergeCell ref="B62:C62"/>
    <mergeCell ref="D62:E62"/>
    <mergeCell ref="F62:G62"/>
    <mergeCell ref="H62:I62"/>
    <mergeCell ref="J62:K62"/>
    <mergeCell ref="A61:A62"/>
    <mergeCell ref="B61:C61"/>
    <mergeCell ref="D61:E61"/>
    <mergeCell ref="F61:G61"/>
    <mergeCell ref="H61:I61"/>
    <mergeCell ref="J61:K61"/>
    <mergeCell ref="L63:M64"/>
    <mergeCell ref="B64:C64"/>
    <mergeCell ref="D64:E64"/>
    <mergeCell ref="F64:G64"/>
    <mergeCell ref="H64:I64"/>
    <mergeCell ref="J64:K64"/>
    <mergeCell ref="A63:A64"/>
    <mergeCell ref="B63:C63"/>
    <mergeCell ref="D63:E63"/>
    <mergeCell ref="F63:G63"/>
    <mergeCell ref="H63:I63"/>
    <mergeCell ref="J63:K63"/>
    <mergeCell ref="A65:A66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B73:C73"/>
    <mergeCell ref="G73:H73"/>
    <mergeCell ref="K73:M73"/>
    <mergeCell ref="B74:C74"/>
    <mergeCell ref="G74:H74"/>
    <mergeCell ref="B75:C75"/>
    <mergeCell ref="G75:H75"/>
    <mergeCell ref="K75:M75"/>
    <mergeCell ref="J66:K66"/>
    <mergeCell ref="B71:C71"/>
    <mergeCell ref="G71:H71"/>
    <mergeCell ref="K71:M71"/>
    <mergeCell ref="B72:C72"/>
    <mergeCell ref="G72:H72"/>
    <mergeCell ref="K72:M72"/>
    <mergeCell ref="B79:C79"/>
    <mergeCell ref="G79:H79"/>
    <mergeCell ref="B80:C80"/>
    <mergeCell ref="G80:H80"/>
    <mergeCell ref="B81:C81"/>
    <mergeCell ref="G81:H81"/>
    <mergeCell ref="B76:C76"/>
    <mergeCell ref="G76:H76"/>
    <mergeCell ref="B77:C77"/>
    <mergeCell ref="G77:H77"/>
    <mergeCell ref="B78:C78"/>
    <mergeCell ref="G78:H78"/>
    <mergeCell ref="B84:C84"/>
    <mergeCell ref="G84:H84"/>
    <mergeCell ref="K84:L84"/>
    <mergeCell ref="B85:C85"/>
    <mergeCell ref="G85:H85"/>
    <mergeCell ref="K85:M85"/>
    <mergeCell ref="K81:M81"/>
    <mergeCell ref="B82:C82"/>
    <mergeCell ref="G82:H82"/>
    <mergeCell ref="B83:C83"/>
    <mergeCell ref="G83:H83"/>
    <mergeCell ref="K83:L83"/>
    <mergeCell ref="K89:M89"/>
    <mergeCell ref="B90:C90"/>
    <mergeCell ref="G90:H90"/>
    <mergeCell ref="K90:M90"/>
    <mergeCell ref="B91:C91"/>
    <mergeCell ref="G91:H91"/>
    <mergeCell ref="B86:C86"/>
    <mergeCell ref="G86:H86"/>
    <mergeCell ref="B87:C87"/>
    <mergeCell ref="G87:H87"/>
    <mergeCell ref="B89:C89"/>
    <mergeCell ref="G89:H89"/>
    <mergeCell ref="B95:C95"/>
    <mergeCell ref="G95:H95"/>
    <mergeCell ref="K95:M95"/>
    <mergeCell ref="B96:C96"/>
    <mergeCell ref="G96:H96"/>
    <mergeCell ref="B97:C97"/>
    <mergeCell ref="G97:H97"/>
    <mergeCell ref="B92:C92"/>
    <mergeCell ref="G92:H92"/>
    <mergeCell ref="B93:C93"/>
    <mergeCell ref="G93:H93"/>
    <mergeCell ref="B94:C94"/>
    <mergeCell ref="G94:H94"/>
    <mergeCell ref="B101:C101"/>
    <mergeCell ref="G101:H101"/>
    <mergeCell ref="K101:M101"/>
    <mergeCell ref="B102:C102"/>
    <mergeCell ref="G102:H102"/>
    <mergeCell ref="B104:C104"/>
    <mergeCell ref="G104:H104"/>
    <mergeCell ref="K104:M104"/>
    <mergeCell ref="B98:C98"/>
    <mergeCell ref="G98:H98"/>
    <mergeCell ref="K98:M98"/>
    <mergeCell ref="B99:C99"/>
    <mergeCell ref="G99:H99"/>
    <mergeCell ref="B100:C100"/>
    <mergeCell ref="G100:H100"/>
    <mergeCell ref="K100:L100"/>
    <mergeCell ref="O108:P108"/>
    <mergeCell ref="B109:C109"/>
    <mergeCell ref="G109:H109"/>
    <mergeCell ref="K109:M109"/>
    <mergeCell ref="B105:C105"/>
    <mergeCell ref="G105:H105"/>
    <mergeCell ref="K105:M105"/>
    <mergeCell ref="B106:C106"/>
    <mergeCell ref="G106:H106"/>
    <mergeCell ref="B107:C107"/>
    <mergeCell ref="G107:H107"/>
    <mergeCell ref="B110:C110"/>
    <mergeCell ref="G110:H110"/>
    <mergeCell ref="B111:C111"/>
    <mergeCell ref="G111:H111"/>
    <mergeCell ref="K111:M111"/>
    <mergeCell ref="B112:C112"/>
    <mergeCell ref="G112:H112"/>
    <mergeCell ref="B108:C108"/>
    <mergeCell ref="G108:H108"/>
    <mergeCell ref="K108:M108"/>
    <mergeCell ref="B116:C116"/>
    <mergeCell ref="G116:H116"/>
    <mergeCell ref="A118:E118"/>
    <mergeCell ref="A128:C128"/>
    <mergeCell ref="H128:I128"/>
    <mergeCell ref="K128:M128"/>
    <mergeCell ref="B113:C113"/>
    <mergeCell ref="G113:H113"/>
    <mergeCell ref="B114:C114"/>
    <mergeCell ref="G114:H114"/>
    <mergeCell ref="K114:L114"/>
    <mergeCell ref="B115:C115"/>
    <mergeCell ref="G115:H115"/>
    <mergeCell ref="K115:M115"/>
    <mergeCell ref="B131:C131"/>
    <mergeCell ref="H131:I131"/>
    <mergeCell ref="K131:M131"/>
    <mergeCell ref="B132:C132"/>
    <mergeCell ref="H132:I132"/>
    <mergeCell ref="K132:M132"/>
    <mergeCell ref="B129:C129"/>
    <mergeCell ref="H129:I129"/>
    <mergeCell ref="K129:M129"/>
    <mergeCell ref="B130:C130"/>
    <mergeCell ref="H130:I130"/>
    <mergeCell ref="K130:M130"/>
    <mergeCell ref="B135:C135"/>
    <mergeCell ref="H135:I135"/>
    <mergeCell ref="K135:M135"/>
    <mergeCell ref="A136:C136"/>
    <mergeCell ref="H136:I136"/>
    <mergeCell ref="K136:M136"/>
    <mergeCell ref="B133:C133"/>
    <mergeCell ref="H133:I133"/>
    <mergeCell ref="K133:M133"/>
    <mergeCell ref="B134:C134"/>
    <mergeCell ref="H134:I134"/>
    <mergeCell ref="K134:M134"/>
    <mergeCell ref="C138:D138"/>
    <mergeCell ref="H138:I138"/>
    <mergeCell ref="J138:M138"/>
    <mergeCell ref="A139:A150"/>
    <mergeCell ref="C139:D140"/>
    <mergeCell ref="H139:I140"/>
    <mergeCell ref="J139:M139"/>
    <mergeCell ref="J140:M140"/>
    <mergeCell ref="C141:D141"/>
    <mergeCell ref="H141:I141"/>
    <mergeCell ref="J141:M141"/>
    <mergeCell ref="C142:D142"/>
    <mergeCell ref="H142:I142"/>
    <mergeCell ref="J142:M142"/>
    <mergeCell ref="C143:D144"/>
    <mergeCell ref="H143:I143"/>
    <mergeCell ref="J143:M143"/>
    <mergeCell ref="H144:I144"/>
    <mergeCell ref="J144:M144"/>
    <mergeCell ref="C145:D145"/>
    <mergeCell ref="H145:I145"/>
    <mergeCell ref="J145:M145"/>
    <mergeCell ref="C146:D149"/>
    <mergeCell ref="H146:I149"/>
    <mergeCell ref="J146:M146"/>
    <mergeCell ref="J147:M147"/>
    <mergeCell ref="J148:M148"/>
    <mergeCell ref="J149:M149"/>
    <mergeCell ref="C150:D150"/>
    <mergeCell ref="H150:I150"/>
    <mergeCell ref="J150:M150"/>
    <mergeCell ref="A151:F151"/>
    <mergeCell ref="H151:M151"/>
    <mergeCell ref="A155:B155"/>
    <mergeCell ref="C155:C156"/>
    <mergeCell ref="D155:F155"/>
    <mergeCell ref="G155:G156"/>
    <mergeCell ref="H155:H156"/>
    <mergeCell ref="A164:B164"/>
    <mergeCell ref="C164:C165"/>
    <mergeCell ref="D164:F164"/>
    <mergeCell ref="G164:G165"/>
    <mergeCell ref="H164:H165"/>
    <mergeCell ref="J164:J165"/>
    <mergeCell ref="A157:A158"/>
    <mergeCell ref="K158:L158"/>
    <mergeCell ref="A159:A160"/>
    <mergeCell ref="K160:L160"/>
    <mergeCell ref="A161:A162"/>
    <mergeCell ref="K162:L162"/>
    <mergeCell ref="A176:M176"/>
    <mergeCell ref="A177:M177"/>
    <mergeCell ref="D181:E181"/>
    <mergeCell ref="K186:L186"/>
    <mergeCell ref="K187:L187"/>
    <mergeCell ref="A166:A167"/>
    <mergeCell ref="K167:L167"/>
    <mergeCell ref="A168:A169"/>
    <mergeCell ref="K169:L169"/>
    <mergeCell ref="A170:A171"/>
    <mergeCell ref="K171:L171"/>
  </mergeCells>
  <pageMargins left="0.19685039370078741" right="0.19685039370078741" top="0.19685039370078741" bottom="0.19685039370078741" header="0.27559055118110237" footer="0.19685039370078741"/>
  <pageSetup paperSize="9" scale="89" orientation="landscape" r:id="rId1"/>
  <rowBreaks count="5" manualBreakCount="5">
    <brk id="28" max="12" man="1"/>
    <brk id="66" max="12" man="1"/>
    <brk id="116" max="12" man="1"/>
    <brk id="136" max="12" man="1"/>
    <brk id="171" max="12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61"/>
  <sheetViews>
    <sheetView topLeftCell="A92" zoomScaleNormal="100" workbookViewId="0">
      <selection activeCell="H110" sqref="H110:I110"/>
    </sheetView>
  </sheetViews>
  <sheetFormatPr defaultRowHeight="15" x14ac:dyDescent="0.25"/>
  <cols>
    <col min="1" max="1" width="13.85546875" customWidth="1"/>
    <col min="2" max="2" width="7" customWidth="1"/>
    <col min="3" max="3" width="12" customWidth="1"/>
    <col min="4" max="4" width="12.42578125" customWidth="1"/>
    <col min="5" max="5" width="14.85546875" customWidth="1"/>
    <col min="6" max="6" width="12" customWidth="1"/>
    <col min="7" max="7" width="12.42578125" customWidth="1"/>
    <col min="8" max="8" width="10.7109375" style="5" customWidth="1"/>
    <col min="9" max="9" width="9.14062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2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9.5" customHeight="1" x14ac:dyDescent="0.25">
      <c r="A6" s="1" t="s">
        <v>3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2.5" customHeight="1" x14ac:dyDescent="0.25">
      <c r="A9" s="524" t="s">
        <v>6</v>
      </c>
      <c r="B9" s="524"/>
      <c r="C9" s="9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9" t="s">
        <v>13</v>
      </c>
      <c r="L9" s="9" t="s">
        <v>14</v>
      </c>
      <c r="M9" s="9" t="s">
        <v>15</v>
      </c>
    </row>
    <row r="10" spans="1:16" ht="18.75" customHeight="1" x14ac:dyDescent="0.25">
      <c r="A10" s="9" t="s">
        <v>16</v>
      </c>
      <c r="B10" s="9" t="s">
        <v>17</v>
      </c>
      <c r="C10" s="11"/>
      <c r="D10" s="9" t="s">
        <v>18</v>
      </c>
      <c r="E10" s="9" t="s">
        <v>19</v>
      </c>
      <c r="F10" s="9" t="s">
        <v>20</v>
      </c>
      <c r="G10" s="526"/>
      <c r="H10" s="527"/>
      <c r="I10" s="10" t="s">
        <v>21</v>
      </c>
      <c r="J10" s="526"/>
      <c r="K10" s="9" t="s">
        <v>22</v>
      </c>
      <c r="L10" s="9" t="s">
        <v>23</v>
      </c>
      <c r="M10" s="9" t="s">
        <v>24</v>
      </c>
    </row>
    <row r="11" spans="1:16" s="18" customFormat="1" ht="18" customHeight="1" x14ac:dyDescent="0.25">
      <c r="A11" s="530" t="s">
        <v>25</v>
      </c>
      <c r="B11" s="12" t="s">
        <v>21</v>
      </c>
      <c r="C11" s="13">
        <v>379901</v>
      </c>
      <c r="D11" s="13">
        <v>349965</v>
      </c>
      <c r="E11" s="14">
        <v>11169</v>
      </c>
      <c r="F11" s="14">
        <v>11169</v>
      </c>
      <c r="G11" s="15">
        <f>SUM(D11:F11)</f>
        <v>372303</v>
      </c>
      <c r="H11" s="16">
        <v>28</v>
      </c>
      <c r="I11" s="17">
        <v>13789</v>
      </c>
      <c r="J11" s="12"/>
      <c r="K11" s="531">
        <v>7589</v>
      </c>
      <c r="L11" s="532"/>
      <c r="M11" s="12"/>
      <c r="O11" s="19"/>
    </row>
    <row r="12" spans="1:16" s="18" customFormat="1" ht="18" customHeight="1" x14ac:dyDescent="0.25">
      <c r="A12" s="530"/>
      <c r="B12" s="12" t="s">
        <v>26</v>
      </c>
      <c r="C12" s="20"/>
      <c r="D12" s="21">
        <v>94</v>
      </c>
      <c r="E12" s="21">
        <v>3</v>
      </c>
      <c r="F12" s="21">
        <v>3</v>
      </c>
      <c r="G12" s="15">
        <v>100</v>
      </c>
      <c r="H12" s="22"/>
      <c r="I12" s="23"/>
      <c r="J12" s="13">
        <v>98</v>
      </c>
      <c r="K12" s="533">
        <v>2</v>
      </c>
      <c r="L12" s="533"/>
      <c r="M12" s="25">
        <v>100</v>
      </c>
      <c r="O12" s="19"/>
      <c r="P12" s="19">
        <v>5.3</v>
      </c>
    </row>
    <row r="13" spans="1:16" s="18" customFormat="1" ht="18" customHeight="1" x14ac:dyDescent="0.25">
      <c r="A13" s="530" t="s">
        <v>27</v>
      </c>
      <c r="B13" s="12" t="s">
        <v>21</v>
      </c>
      <c r="C13" s="22">
        <f>+'[1]31.3'!$F$21:$F$21</f>
        <v>421167</v>
      </c>
      <c r="D13" s="15">
        <f>+'[1]31.3'!$I$21</f>
        <v>413131.5</v>
      </c>
      <c r="E13" s="14">
        <v>0</v>
      </c>
      <c r="F13" s="14">
        <f>+'[1]31.3'!$K$21</f>
        <v>2607</v>
      </c>
      <c r="G13" s="15">
        <f>SUM(D13:F13)</f>
        <v>415738.5</v>
      </c>
      <c r="H13" s="22">
        <v>28</v>
      </c>
      <c r="I13" s="26">
        <v>13586</v>
      </c>
      <c r="J13" s="12"/>
      <c r="K13" s="27">
        <v>1170</v>
      </c>
      <c r="L13" s="27">
        <v>1053</v>
      </c>
      <c r="M13" s="12"/>
      <c r="N13" s="28"/>
      <c r="O13" s="19"/>
      <c r="P13" s="19">
        <f>16-P12</f>
        <v>10.7</v>
      </c>
    </row>
    <row r="14" spans="1:16" s="18" customFormat="1" ht="18" customHeight="1" x14ac:dyDescent="0.25">
      <c r="A14" s="530"/>
      <c r="B14" s="12" t="s">
        <v>26</v>
      </c>
      <c r="C14" s="20"/>
      <c r="D14" s="21">
        <f>+D13/G13*100</f>
        <v>99.372923123550009</v>
      </c>
      <c r="E14" s="29">
        <f>+E13/G13*100</f>
        <v>0</v>
      </c>
      <c r="F14" s="29">
        <f>+F13/G13*100</f>
        <v>0.62707687644998</v>
      </c>
      <c r="G14" s="15">
        <f t="shared" ref="G14" si="0">SUM(D14:F14)</f>
        <v>99.999999999999986</v>
      </c>
      <c r="H14" s="22"/>
      <c r="I14" s="23"/>
      <c r="J14" s="30">
        <f>+G13/C13*100</f>
        <v>98.711081352527614</v>
      </c>
      <c r="K14" s="534">
        <f>100-J14</f>
        <v>1.2889186474723857</v>
      </c>
      <c r="L14" s="534"/>
      <c r="M14" s="31">
        <v>83</v>
      </c>
      <c r="O14" s="28"/>
    </row>
    <row r="15" spans="1:16" s="18" customFormat="1" ht="20.25" customHeight="1" x14ac:dyDescent="0.25">
      <c r="A15" s="530" t="s">
        <v>28</v>
      </c>
      <c r="B15" s="12" t="s">
        <v>21</v>
      </c>
      <c r="C15" s="15">
        <f>+C13-C11</f>
        <v>41266</v>
      </c>
      <c r="D15" s="13">
        <f>+D13-D11</f>
        <v>63166.5</v>
      </c>
      <c r="E15" s="32">
        <f>+(E13-E11)</f>
        <v>-11169</v>
      </c>
      <c r="F15" s="14">
        <f>+F13-F11</f>
        <v>-8562</v>
      </c>
      <c r="G15" s="15">
        <f>SUM(D15:F15)</f>
        <v>43435.5</v>
      </c>
      <c r="H15" s="22"/>
      <c r="I15" s="23"/>
      <c r="J15" s="13"/>
      <c r="K15" s="33"/>
      <c r="L15" s="33"/>
      <c r="M15" s="12"/>
      <c r="N15" s="34"/>
    </row>
    <row r="16" spans="1:16" s="18" customFormat="1" ht="18.75" customHeight="1" x14ac:dyDescent="0.25">
      <c r="A16" s="530"/>
      <c r="B16" s="12" t="s">
        <v>26</v>
      </c>
      <c r="C16" s="20"/>
      <c r="D16" s="35">
        <f>+D14-D12</f>
        <v>5.3729231235500094</v>
      </c>
      <c r="E16" s="36">
        <f>+E14-E12</f>
        <v>-3</v>
      </c>
      <c r="F16" s="37">
        <f>+F14-F12</f>
        <v>-2.3729231235500201</v>
      </c>
      <c r="G16" s="23">
        <v>0</v>
      </c>
      <c r="H16" s="22"/>
      <c r="I16" s="23"/>
      <c r="J16" s="12"/>
      <c r="K16" s="33"/>
      <c r="L16" s="33"/>
      <c r="M16" s="12"/>
      <c r="N16" s="34">
        <f>97.5+1.29</f>
        <v>98.79</v>
      </c>
    </row>
    <row r="17" spans="1:13" ht="16.5" customHeight="1" x14ac:dyDescent="0.25">
      <c r="A17" s="1" t="s">
        <v>29</v>
      </c>
      <c r="B17" s="7"/>
      <c r="C17" s="7"/>
      <c r="D17" s="7"/>
      <c r="E17" s="7"/>
      <c r="F17" s="7"/>
      <c r="G17" s="7"/>
      <c r="J17" s="7"/>
      <c r="K17" s="7"/>
      <c r="L17" s="7"/>
      <c r="M17" s="7"/>
    </row>
    <row r="18" spans="1:13" ht="16.5" customHeight="1" x14ac:dyDescent="0.25">
      <c r="A18" s="1" t="s">
        <v>30</v>
      </c>
      <c r="B18" s="7"/>
      <c r="C18" s="7"/>
      <c r="D18" s="7"/>
      <c r="E18" s="7"/>
      <c r="F18" s="7"/>
      <c r="G18" s="7"/>
      <c r="J18" s="7"/>
      <c r="K18" s="7"/>
      <c r="L18" s="7"/>
      <c r="M18" s="7"/>
    </row>
    <row r="19" spans="1:13" ht="16.5" customHeight="1" x14ac:dyDescent="0.25">
      <c r="A19" s="2" t="s">
        <v>31</v>
      </c>
      <c r="B19" s="7"/>
      <c r="C19" s="7"/>
      <c r="D19" s="7"/>
      <c r="E19" s="7"/>
      <c r="F19" s="7"/>
      <c r="G19" s="7"/>
      <c r="J19" s="7"/>
      <c r="K19" s="7"/>
      <c r="L19" s="7"/>
      <c r="M19" s="7"/>
    </row>
    <row r="20" spans="1:13" s="38" customFormat="1" ht="17.25" customHeight="1" x14ac:dyDescent="0.25">
      <c r="A20" s="524" t="s">
        <v>32</v>
      </c>
      <c r="B20" s="542" t="s">
        <v>33</v>
      </c>
      <c r="C20" s="542"/>
      <c r="D20" s="542"/>
      <c r="E20" s="542"/>
      <c r="F20" s="542"/>
      <c r="G20" s="542"/>
      <c r="H20" s="542"/>
      <c r="I20" s="542"/>
      <c r="J20" s="543" t="s">
        <v>34</v>
      </c>
      <c r="K20" s="544"/>
      <c r="L20" s="524" t="s">
        <v>35</v>
      </c>
      <c r="M20" s="524"/>
    </row>
    <row r="21" spans="1:13" s="38" customFormat="1" ht="17.25" customHeight="1" x14ac:dyDescent="0.25">
      <c r="A21" s="524"/>
      <c r="B21" s="528" t="s">
        <v>18</v>
      </c>
      <c r="C21" s="529"/>
      <c r="D21" s="528" t="s">
        <v>19</v>
      </c>
      <c r="E21" s="529"/>
      <c r="F21" s="528" t="s">
        <v>20</v>
      </c>
      <c r="G21" s="529"/>
      <c r="H21" s="528" t="s">
        <v>36</v>
      </c>
      <c r="I21" s="529"/>
      <c r="J21" s="545"/>
      <c r="K21" s="546"/>
      <c r="L21" s="524"/>
      <c r="M21" s="524"/>
    </row>
    <row r="22" spans="1:13" s="38" customFormat="1" ht="17.25" customHeight="1" x14ac:dyDescent="0.25">
      <c r="A22" s="535" t="s">
        <v>37</v>
      </c>
      <c r="B22" s="536">
        <f>+[2]T3!$D$24</f>
        <v>233358</v>
      </c>
      <c r="C22" s="537"/>
      <c r="D22" s="536">
        <v>0</v>
      </c>
      <c r="E22" s="537"/>
      <c r="F22" s="536">
        <f>+[2]T3!$D$26</f>
        <v>1960.5</v>
      </c>
      <c r="G22" s="537"/>
      <c r="H22" s="538">
        <f>+B22+D22+F22</f>
        <v>235318.5</v>
      </c>
      <c r="I22" s="539"/>
      <c r="J22" s="540"/>
      <c r="K22" s="541"/>
      <c r="L22" s="564"/>
      <c r="M22" s="565"/>
    </row>
    <row r="23" spans="1:13" s="38" customFormat="1" ht="17.25" customHeight="1" x14ac:dyDescent="0.25">
      <c r="A23" s="535"/>
      <c r="B23" s="550">
        <f>+B22/$H$22*100</f>
        <v>99.166873832699082</v>
      </c>
      <c r="C23" s="551" t="e">
        <f>+C22/C34*100</f>
        <v>#REF!</v>
      </c>
      <c r="D23" s="550">
        <f t="shared" ref="D23" si="1">+D22/$H$22*100</f>
        <v>0</v>
      </c>
      <c r="E23" s="551" t="e">
        <f>+E22/E34*100</f>
        <v>#REF!</v>
      </c>
      <c r="F23" s="550">
        <f t="shared" ref="F23" si="2">+F22/$H$22*100</f>
        <v>0.83312616730091338</v>
      </c>
      <c r="G23" s="551" t="e">
        <f>+G22/G34*100</f>
        <v>#REF!</v>
      </c>
      <c r="H23" s="550">
        <f t="shared" ref="H23" si="3">+H22/$H$22*100</f>
        <v>100</v>
      </c>
      <c r="I23" s="551" t="e">
        <f>+I22/I34*100</f>
        <v>#REF!</v>
      </c>
      <c r="J23" s="549">
        <f>+H22/$H$34*100</f>
        <v>56.602527790907018</v>
      </c>
      <c r="K23" s="541"/>
      <c r="L23" s="566"/>
      <c r="M23" s="567"/>
    </row>
    <row r="24" spans="1:13" s="38" customFormat="1" ht="17.25" customHeight="1" x14ac:dyDescent="0.25">
      <c r="A24" s="535" t="s">
        <v>38</v>
      </c>
      <c r="B24" s="536">
        <f>+[2]T3!$F$24</f>
        <v>31834.5</v>
      </c>
      <c r="C24" s="537"/>
      <c r="D24" s="536">
        <v>0</v>
      </c>
      <c r="E24" s="537"/>
      <c r="F24" s="536">
        <f>+[2]T3!$F$26</f>
        <v>106.5</v>
      </c>
      <c r="G24" s="537"/>
      <c r="H24" s="547">
        <f>+B24+D24+F24</f>
        <v>31941</v>
      </c>
      <c r="I24" s="548"/>
      <c r="J24" s="549"/>
      <c r="K24" s="541"/>
      <c r="L24" s="566"/>
      <c r="M24" s="567"/>
    </row>
    <row r="25" spans="1:13" s="38" customFormat="1" ht="17.25" customHeight="1" x14ac:dyDescent="0.25">
      <c r="A25" s="535"/>
      <c r="B25" s="550">
        <f>+B24/$H$24*100</f>
        <v>99.66657274349582</v>
      </c>
      <c r="C25" s="551" t="e">
        <f>+C24/C32*100</f>
        <v>#DIV/0!</v>
      </c>
      <c r="D25" s="550">
        <f t="shared" ref="D25" si="4">+D24/$H$24*100</f>
        <v>0</v>
      </c>
      <c r="E25" s="551" t="e">
        <f t="shared" ref="E25" si="5">+E24/E32*100</f>
        <v>#DIV/0!</v>
      </c>
      <c r="F25" s="550">
        <f t="shared" ref="F25" si="6">+F24/$H$24*100</f>
        <v>0.33342725650417959</v>
      </c>
      <c r="G25" s="551" t="e">
        <f t="shared" ref="G25" si="7">+G24/G32*100</f>
        <v>#DIV/0!</v>
      </c>
      <c r="H25" s="550">
        <f t="shared" ref="H25" si="8">+H24/$H$24*100</f>
        <v>100</v>
      </c>
      <c r="I25" s="551" t="e">
        <f t="shared" ref="I25" si="9">+I24/I32*100</f>
        <v>#DIV/0!</v>
      </c>
      <c r="J25" s="549">
        <f>+H24/$H$34*100</f>
        <v>7.6829545495545881</v>
      </c>
      <c r="K25" s="541"/>
      <c r="L25" s="566"/>
      <c r="M25" s="567"/>
    </row>
    <row r="26" spans="1:13" s="38" customFormat="1" ht="17.25" customHeight="1" x14ac:dyDescent="0.25">
      <c r="A26" s="535" t="s">
        <v>39</v>
      </c>
      <c r="B26" s="550">
        <f>+[2]T3!$D$31</f>
        <v>17817</v>
      </c>
      <c r="C26" s="551"/>
      <c r="D26" s="536">
        <v>0</v>
      </c>
      <c r="E26" s="537"/>
      <c r="F26" s="536">
        <f>+[2]T3!$D$33</f>
        <v>64.5</v>
      </c>
      <c r="G26" s="537"/>
      <c r="H26" s="547">
        <f>+B26+D26+F26</f>
        <v>17881.5</v>
      </c>
      <c r="I26" s="548"/>
      <c r="J26" s="549"/>
      <c r="K26" s="541"/>
      <c r="L26" s="566"/>
      <c r="M26" s="567"/>
    </row>
    <row r="27" spans="1:13" s="38" customFormat="1" ht="17.25" customHeight="1" x14ac:dyDescent="0.25">
      <c r="A27" s="535"/>
      <c r="B27" s="550">
        <f t="shared" ref="B27" si="10">+B26/$H$24*100</f>
        <v>55.780971165586543</v>
      </c>
      <c r="C27" s="551" t="e">
        <f>+C26/#REF!*100</f>
        <v>#REF!</v>
      </c>
      <c r="D27" s="550">
        <f t="shared" ref="D27" si="11">+D26/$H$26*100</f>
        <v>0</v>
      </c>
      <c r="E27" s="551"/>
      <c r="F27" s="550">
        <f t="shared" ref="F27" si="12">+F26/$H$26*100</f>
        <v>0.36070799429578054</v>
      </c>
      <c r="G27" s="551"/>
      <c r="H27" s="550">
        <f t="shared" ref="H27" si="13">+H26/$H$26*100</f>
        <v>100</v>
      </c>
      <c r="I27" s="551"/>
      <c r="J27" s="549">
        <f>+H26/$H$34*100</f>
        <v>4.3011412221865424</v>
      </c>
      <c r="K27" s="541"/>
      <c r="L27" s="566"/>
      <c r="M27" s="567"/>
    </row>
    <row r="28" spans="1:13" s="38" customFormat="1" ht="17.25" customHeight="1" x14ac:dyDescent="0.25">
      <c r="A28" s="552" t="s">
        <v>40</v>
      </c>
      <c r="B28" s="536">
        <f>+[2]T3!$J$24</f>
        <v>54442.5</v>
      </c>
      <c r="C28" s="537"/>
      <c r="D28" s="536">
        <v>0</v>
      </c>
      <c r="E28" s="537"/>
      <c r="F28" s="536">
        <f>+[2]T3!$J$26</f>
        <v>246</v>
      </c>
      <c r="G28" s="537"/>
      <c r="H28" s="547">
        <f>+B28+D28+F28</f>
        <v>54688.5</v>
      </c>
      <c r="I28" s="548"/>
      <c r="J28" s="549"/>
      <c r="K28" s="541"/>
      <c r="L28" s="566"/>
      <c r="M28" s="567"/>
    </row>
    <row r="29" spans="1:13" s="38" customFormat="1" ht="17.25" customHeight="1" x14ac:dyDescent="0.25">
      <c r="A29" s="553"/>
      <c r="B29" s="554">
        <f>+B28/$H$28*100</f>
        <v>99.550179653857768</v>
      </c>
      <c r="C29" s="555" t="e">
        <f>+C28/C30*100</f>
        <v>#DIV/0!</v>
      </c>
      <c r="D29" s="554">
        <f t="shared" ref="D29" si="14">+D28/$H$28*100</f>
        <v>0</v>
      </c>
      <c r="E29" s="555" t="e">
        <f t="shared" ref="E29" si="15">+E28/E30*100</f>
        <v>#DIV/0!</v>
      </c>
      <c r="F29" s="554">
        <f t="shared" ref="F29" si="16">+F28/$H$28*100</f>
        <v>0.44982034614224192</v>
      </c>
      <c r="G29" s="555" t="e">
        <f t="shared" ref="G29" si="17">+G28/G30*100</f>
        <v>#DIV/0!</v>
      </c>
      <c r="H29" s="554">
        <f t="shared" ref="H29" si="18">+H28/$H$28*100</f>
        <v>100</v>
      </c>
      <c r="I29" s="555" t="e">
        <f t="shared" ref="I29" si="19">+I28/I30*100</f>
        <v>#DIV/0!</v>
      </c>
      <c r="J29" s="549">
        <f>+H28/$H$34*100</f>
        <v>13.154543060120725</v>
      </c>
      <c r="K29" s="541"/>
      <c r="L29" s="566"/>
      <c r="M29" s="567"/>
    </row>
    <row r="30" spans="1:13" s="38" customFormat="1" ht="17.25" customHeight="1" x14ac:dyDescent="0.25">
      <c r="A30" s="552" t="s">
        <v>41</v>
      </c>
      <c r="B30" s="536">
        <f>+[2]T3!$H$24</f>
        <v>30355.5</v>
      </c>
      <c r="C30" s="537"/>
      <c r="D30" s="536">
        <v>0</v>
      </c>
      <c r="E30" s="537"/>
      <c r="F30" s="536">
        <f>+[2]T3!$H$26</f>
        <v>58.5</v>
      </c>
      <c r="G30" s="537"/>
      <c r="H30" s="547">
        <f>+B30+D30+F30</f>
        <v>30414</v>
      </c>
      <c r="I30" s="548"/>
      <c r="J30" s="549"/>
      <c r="K30" s="541"/>
      <c r="L30" s="566"/>
      <c r="M30" s="567"/>
    </row>
    <row r="31" spans="1:13" s="38" customFormat="1" ht="17.25" customHeight="1" x14ac:dyDescent="0.25">
      <c r="A31" s="553"/>
      <c r="B31" s="554">
        <f>+B30/$H$30*100</f>
        <v>99.807654369698156</v>
      </c>
      <c r="C31" s="555" t="e">
        <f>+C30/C32*100</f>
        <v>#DIV/0!</v>
      </c>
      <c r="D31" s="554">
        <f t="shared" ref="D31" si="20">+D30/$H$30*100</f>
        <v>0</v>
      </c>
      <c r="E31" s="555" t="e">
        <f t="shared" ref="E31" si="21">+E30/E32*100</f>
        <v>#DIV/0!</v>
      </c>
      <c r="F31" s="554">
        <f t="shared" ref="F31" si="22">+F30/$H$30*100</f>
        <v>0.19234563030183469</v>
      </c>
      <c r="G31" s="555" t="e">
        <f t="shared" ref="G31" si="23">+G30/G32*100</f>
        <v>#DIV/0!</v>
      </c>
      <c r="H31" s="554">
        <f t="shared" ref="H31" si="24">+H30/$H$30*100</f>
        <v>100</v>
      </c>
      <c r="I31" s="555" t="e">
        <f t="shared" ref="I31" si="25">+I30/I32*100</f>
        <v>#DIV/0!</v>
      </c>
      <c r="J31" s="549">
        <f>+H30/$H$34*100</f>
        <v>7.3156563560988461</v>
      </c>
      <c r="K31" s="541"/>
      <c r="L31" s="566"/>
      <c r="M31" s="567"/>
    </row>
    <row r="32" spans="1:13" s="38" customFormat="1" ht="17.25" customHeight="1" x14ac:dyDescent="0.25">
      <c r="A32" s="535" t="s">
        <v>42</v>
      </c>
      <c r="B32" s="536">
        <f>+[2]T3!$L$24</f>
        <v>45324</v>
      </c>
      <c r="C32" s="537"/>
      <c r="D32" s="536">
        <v>0</v>
      </c>
      <c r="E32" s="537"/>
      <c r="F32" s="536">
        <f>+[2]T3!$L$26</f>
        <v>171</v>
      </c>
      <c r="G32" s="537"/>
      <c r="H32" s="547">
        <f>+B32+D32+F32</f>
        <v>45495</v>
      </c>
      <c r="I32" s="548"/>
      <c r="J32" s="549"/>
      <c r="K32" s="541"/>
      <c r="L32" s="566"/>
      <c r="M32" s="567"/>
    </row>
    <row r="33" spans="1:18" s="38" customFormat="1" ht="17.25" customHeight="1" x14ac:dyDescent="0.25">
      <c r="A33" s="535"/>
      <c r="B33" s="550">
        <f>+B32/$H$32*100</f>
        <v>99.624134520276954</v>
      </c>
      <c r="C33" s="551" t="e">
        <f>+C32/C34*100</f>
        <v>#REF!</v>
      </c>
      <c r="D33" s="550">
        <f t="shared" ref="D33" si="26">+D32/$H$32*100</f>
        <v>0</v>
      </c>
      <c r="E33" s="551" t="e">
        <f>+E32/E34*100</f>
        <v>#REF!</v>
      </c>
      <c r="F33" s="550">
        <f t="shared" ref="F33" si="27">+F32/$H$32*100</f>
        <v>0.37586547972304651</v>
      </c>
      <c r="G33" s="551" t="e">
        <f>+G32/G34*100</f>
        <v>#REF!</v>
      </c>
      <c r="H33" s="550">
        <f t="shared" ref="H33" si="28">+H32/$H$32*100</f>
        <v>100</v>
      </c>
      <c r="I33" s="551" t="e">
        <f>+I32/I34*100</f>
        <v>#REF!</v>
      </c>
      <c r="J33" s="549">
        <f>+H32/$H$34*100</f>
        <v>10.943177021132275</v>
      </c>
      <c r="K33" s="541"/>
      <c r="L33" s="566"/>
      <c r="M33" s="567"/>
    </row>
    <row r="34" spans="1:18" s="38" customFormat="1" ht="17.25" customHeight="1" x14ac:dyDescent="0.25">
      <c r="A34" s="524" t="s">
        <v>43</v>
      </c>
      <c r="B34" s="556">
        <f>+B22+B24+B26+B28+B30+B32</f>
        <v>413131.5</v>
      </c>
      <c r="C34" s="529" t="e">
        <f>+#REF!+#REF!+#REF!+#REF!+#REF!+C32+C22</f>
        <v>#REF!</v>
      </c>
      <c r="D34" s="556">
        <f t="shared" ref="D34" si="29">+D22+D24+D26+D28+D30+D32</f>
        <v>0</v>
      </c>
      <c r="E34" s="529" t="e">
        <f>+#REF!+#REF!+#REF!+#REF!+#REF!+E32+E22</f>
        <v>#REF!</v>
      </c>
      <c r="F34" s="556">
        <f t="shared" ref="F34" si="30">+F22+F24+F26+F28+F30+F32</f>
        <v>2607</v>
      </c>
      <c r="G34" s="529" t="e">
        <f>+#REF!+#REF!+#REF!+#REF!+#REF!+G32+G22</f>
        <v>#REF!</v>
      </c>
      <c r="H34" s="556">
        <f>+H22+H24+H26+H28+H30+H32</f>
        <v>415738.5</v>
      </c>
      <c r="I34" s="529" t="e">
        <f>+#REF!+#REF!+#REF!+#REF!+#REF!+I32+I22</f>
        <v>#REF!</v>
      </c>
      <c r="J34" s="549"/>
      <c r="K34" s="541"/>
      <c r="L34" s="566"/>
      <c r="M34" s="567"/>
      <c r="N34" s="168">
        <f>+B34+F34</f>
        <v>415738.5</v>
      </c>
    </row>
    <row r="35" spans="1:18" s="38" customFormat="1" ht="17.25" customHeight="1" x14ac:dyDescent="0.25">
      <c r="A35" s="524"/>
      <c r="B35" s="550">
        <f>+B34/$H$34*100</f>
        <v>99.372923123550009</v>
      </c>
      <c r="C35" s="551" t="e">
        <f>+C23+C33+#REF!+#REF!+#REF!+#REF!</f>
        <v>#REF!</v>
      </c>
      <c r="D35" s="550">
        <f t="shared" ref="D35" si="31">+D34/$H$34*100</f>
        <v>0</v>
      </c>
      <c r="E35" s="551" t="e">
        <f>+E23+E33+#REF!+#REF!+#REF!+#REF!</f>
        <v>#REF!</v>
      </c>
      <c r="F35" s="550">
        <f t="shared" ref="F35" si="32">+F34/$H$34*100</f>
        <v>0.62707687644998</v>
      </c>
      <c r="G35" s="551" t="e">
        <f>+G23+G33+#REF!+#REF!+#REF!+#REF!</f>
        <v>#REF!</v>
      </c>
      <c r="H35" s="550">
        <f t="shared" ref="H35" si="33">+H34/$H$34*100</f>
        <v>100</v>
      </c>
      <c r="I35" s="551" t="e">
        <f>+I23+I33+#REF!+#REF!+#REF!+#REF!</f>
        <v>#REF!</v>
      </c>
      <c r="J35" s="549">
        <f>+H34/$H$34*100</f>
        <v>100</v>
      </c>
      <c r="K35" s="541"/>
      <c r="L35" s="568"/>
      <c r="M35" s="569"/>
    </row>
    <row r="36" spans="1:18" ht="22.5" customHeight="1" x14ac:dyDescent="0.25">
      <c r="A36" s="1" t="s">
        <v>44</v>
      </c>
      <c r="B36" s="7"/>
      <c r="C36" s="7"/>
      <c r="D36" s="7"/>
      <c r="E36" s="7"/>
      <c r="F36" s="7"/>
      <c r="G36" s="7"/>
      <c r="J36" s="7"/>
      <c r="K36" s="7"/>
      <c r="L36" s="7"/>
      <c r="M36" s="7"/>
    </row>
    <row r="37" spans="1:18" ht="16.5" customHeight="1" x14ac:dyDescent="0.25">
      <c r="A37" s="1" t="s">
        <v>45</v>
      </c>
      <c r="B37" s="7"/>
      <c r="C37" s="7"/>
      <c r="D37" s="7"/>
      <c r="E37" s="7"/>
      <c r="F37" s="7"/>
      <c r="G37" s="7"/>
      <c r="J37" s="7"/>
      <c r="K37" s="7"/>
      <c r="L37" s="7"/>
      <c r="M37" s="7"/>
    </row>
    <row r="38" spans="1:18" ht="22.5" hidden="1" customHeight="1" x14ac:dyDescent="0.25">
      <c r="A38" s="2" t="s">
        <v>46</v>
      </c>
      <c r="B38" s="39"/>
      <c r="C38" s="39"/>
      <c r="D38" s="39"/>
      <c r="E38" s="40"/>
      <c r="F38" s="41"/>
      <c r="G38" s="42"/>
      <c r="H38" s="42"/>
      <c r="I38" s="43"/>
      <c r="J38" s="44"/>
      <c r="K38" s="2"/>
      <c r="L38" s="2"/>
      <c r="M38" s="7"/>
      <c r="O38" s="45"/>
      <c r="R38" s="46"/>
    </row>
    <row r="39" spans="1:18" ht="22.5" hidden="1" customHeight="1" x14ac:dyDescent="0.25">
      <c r="A39" s="9" t="s">
        <v>47</v>
      </c>
      <c r="B39" s="524" t="s">
        <v>48</v>
      </c>
      <c r="C39" s="524"/>
      <c r="D39" s="9" t="s">
        <v>17</v>
      </c>
      <c r="E39" s="9" t="s">
        <v>49</v>
      </c>
      <c r="F39" s="9" t="s">
        <v>50</v>
      </c>
      <c r="G39" s="528" t="s">
        <v>51</v>
      </c>
      <c r="H39" s="529"/>
      <c r="I39" s="9" t="s">
        <v>52</v>
      </c>
      <c r="J39" s="9" t="s">
        <v>53</v>
      </c>
      <c r="K39" s="528" t="s">
        <v>35</v>
      </c>
      <c r="L39" s="557"/>
      <c r="M39" s="529"/>
      <c r="N39" s="47" t="s">
        <v>54</v>
      </c>
      <c r="O39" s="48">
        <f>+O40+O41</f>
        <v>0</v>
      </c>
      <c r="P39" s="47" t="s">
        <v>13</v>
      </c>
      <c r="Q39" s="47">
        <f>+Q40+Q41</f>
        <v>0</v>
      </c>
      <c r="R39" s="46"/>
    </row>
    <row r="40" spans="1:18" ht="22.5" hidden="1" customHeight="1" x14ac:dyDescent="0.25">
      <c r="A40" s="11">
        <v>1</v>
      </c>
      <c r="B40" s="558" t="s">
        <v>55</v>
      </c>
      <c r="C40" s="558"/>
      <c r="D40" s="49" t="s">
        <v>56</v>
      </c>
      <c r="E40" s="50">
        <v>21.01</v>
      </c>
      <c r="F40" s="51" t="e">
        <f>+G40/$O$39</f>
        <v>#DIV/0!</v>
      </c>
      <c r="G40" s="559"/>
      <c r="H40" s="560"/>
      <c r="I40" s="52" t="e">
        <f>+(E40-F40)*$O$39</f>
        <v>#DIV/0!</v>
      </c>
      <c r="J40" s="53"/>
      <c r="K40" s="561" t="s">
        <v>57</v>
      </c>
      <c r="L40" s="562"/>
      <c r="M40" s="563"/>
      <c r="N40" s="54" t="s">
        <v>58</v>
      </c>
      <c r="O40" s="55"/>
      <c r="P40" s="55"/>
      <c r="Q40" s="55"/>
      <c r="R40" s="46"/>
    </row>
    <row r="41" spans="1:18" ht="22.5" hidden="1" customHeight="1" x14ac:dyDescent="0.25">
      <c r="A41" s="11">
        <v>2</v>
      </c>
      <c r="B41" s="558" t="s">
        <v>59</v>
      </c>
      <c r="C41" s="558"/>
      <c r="D41" s="49" t="s">
        <v>56</v>
      </c>
      <c r="E41" s="56">
        <v>0.48299999999999998</v>
      </c>
      <c r="F41" s="57" t="e">
        <f t="shared" ref="F41:F50" si="34">+G41/$O$39</f>
        <v>#DIV/0!</v>
      </c>
      <c r="G41" s="559"/>
      <c r="H41" s="560"/>
      <c r="I41" s="52" t="e">
        <f>+(E41-F41)*$O$39</f>
        <v>#DIV/0!</v>
      </c>
      <c r="J41" s="53"/>
      <c r="K41" s="58"/>
      <c r="L41" s="58"/>
      <c r="M41" s="59"/>
      <c r="N41" s="54"/>
      <c r="O41" s="55"/>
      <c r="P41" s="55"/>
      <c r="Q41" s="60"/>
      <c r="R41" s="46"/>
    </row>
    <row r="42" spans="1:18" ht="22.5" hidden="1" customHeight="1" x14ac:dyDescent="0.25">
      <c r="A42" s="11">
        <v>3</v>
      </c>
      <c r="B42" s="558" t="s">
        <v>60</v>
      </c>
      <c r="C42" s="558"/>
      <c r="D42" s="49" t="s">
        <v>56</v>
      </c>
      <c r="E42" s="56">
        <v>0.54</v>
      </c>
      <c r="F42" s="57" t="e">
        <f t="shared" si="34"/>
        <v>#DIV/0!</v>
      </c>
      <c r="G42" s="559"/>
      <c r="H42" s="560"/>
      <c r="I42" s="52" t="e">
        <f>+(E42-F42)*$O$39</f>
        <v>#DIV/0!</v>
      </c>
      <c r="J42" s="53"/>
      <c r="K42" s="58"/>
      <c r="L42" s="58"/>
      <c r="M42" s="61"/>
      <c r="O42" s="45"/>
      <c r="R42" s="46"/>
    </row>
    <row r="43" spans="1:18" ht="22.5" hidden="1" customHeight="1" x14ac:dyDescent="0.25">
      <c r="A43" s="11">
        <v>4</v>
      </c>
      <c r="B43" s="572" t="s">
        <v>61</v>
      </c>
      <c r="C43" s="572"/>
      <c r="D43" s="62" t="s">
        <v>62</v>
      </c>
      <c r="E43" s="63">
        <v>0.627</v>
      </c>
      <c r="F43" s="57" t="e">
        <f t="shared" si="34"/>
        <v>#DIV/0!</v>
      </c>
      <c r="G43" s="559"/>
      <c r="H43" s="560"/>
      <c r="I43" s="52"/>
      <c r="J43" s="53"/>
      <c r="K43" s="570"/>
      <c r="L43" s="571"/>
      <c r="M43" s="551"/>
      <c r="N43" s="64"/>
      <c r="O43" s="458"/>
      <c r="P43" s="459"/>
      <c r="R43" s="46"/>
    </row>
    <row r="44" spans="1:18" ht="22.5" hidden="1" customHeight="1" x14ac:dyDescent="0.25">
      <c r="A44" s="11">
        <v>5</v>
      </c>
      <c r="B44" s="558" t="s">
        <v>63</v>
      </c>
      <c r="C44" s="558"/>
      <c r="D44" s="49" t="s">
        <v>56</v>
      </c>
      <c r="E44" s="56">
        <v>2.5000000000000001E-2</v>
      </c>
      <c r="F44" s="57" t="e">
        <f t="shared" si="34"/>
        <v>#DIV/0!</v>
      </c>
      <c r="G44" s="559"/>
      <c r="H44" s="560"/>
      <c r="I44" s="52"/>
      <c r="J44" s="53"/>
      <c r="K44" s="570"/>
      <c r="L44" s="571"/>
      <c r="M44" s="551"/>
      <c r="N44" s="64"/>
      <c r="O44" s="45"/>
      <c r="R44" s="46"/>
    </row>
    <row r="45" spans="1:18" ht="22.5" hidden="1" customHeight="1" x14ac:dyDescent="0.25">
      <c r="A45" s="11">
        <v>6</v>
      </c>
      <c r="B45" s="558" t="s">
        <v>64</v>
      </c>
      <c r="C45" s="558"/>
      <c r="D45" s="49" t="s">
        <v>56</v>
      </c>
      <c r="E45" s="65">
        <v>1.09E-2</v>
      </c>
      <c r="F45" s="66" t="e">
        <f t="shared" si="34"/>
        <v>#DIV/0!</v>
      </c>
      <c r="G45" s="559"/>
      <c r="H45" s="560"/>
      <c r="I45" s="52" t="e">
        <f t="shared" ref="I45:I48" si="35">+(E45-F45)*$O$39</f>
        <v>#DIV/0!</v>
      </c>
      <c r="J45" s="53"/>
      <c r="K45" s="58"/>
      <c r="L45" s="58"/>
      <c r="M45" s="59"/>
      <c r="O45" s="45">
        <v>125244.31962728387</v>
      </c>
      <c r="R45" s="46"/>
    </row>
    <row r="46" spans="1:18" ht="22.5" hidden="1" customHeight="1" x14ac:dyDescent="0.25">
      <c r="A46" s="11">
        <v>7</v>
      </c>
      <c r="B46" s="558" t="s">
        <v>65</v>
      </c>
      <c r="C46" s="558"/>
      <c r="D46" s="49" t="s">
        <v>56</v>
      </c>
      <c r="E46" s="50">
        <v>1.79</v>
      </c>
      <c r="F46" s="51" t="e">
        <f>+G46/$O$39</f>
        <v>#DIV/0!</v>
      </c>
      <c r="G46" s="578"/>
      <c r="H46" s="579"/>
      <c r="I46" s="52" t="e">
        <f>+(E46-F46)*$O$39</f>
        <v>#DIV/0!</v>
      </c>
      <c r="J46" s="53"/>
      <c r="K46" s="580" t="s">
        <v>66</v>
      </c>
      <c r="L46" s="581"/>
      <c r="M46" s="582"/>
      <c r="O46" s="45">
        <v>33340.752329475741</v>
      </c>
      <c r="R46" s="46"/>
    </row>
    <row r="47" spans="1:18" ht="22.5" hidden="1" customHeight="1" x14ac:dyDescent="0.25">
      <c r="A47" s="11">
        <v>8</v>
      </c>
      <c r="B47" s="558" t="s">
        <v>67</v>
      </c>
      <c r="C47" s="558"/>
      <c r="D47" s="49" t="s">
        <v>56</v>
      </c>
      <c r="E47" s="65">
        <v>8.2000000000000007E-3</v>
      </c>
      <c r="F47" s="66" t="e">
        <f t="shared" si="34"/>
        <v>#DIV/0!</v>
      </c>
      <c r="G47" s="559"/>
      <c r="H47" s="560"/>
      <c r="I47" s="52" t="e">
        <f t="shared" si="35"/>
        <v>#DIV/0!</v>
      </c>
      <c r="J47" s="53"/>
      <c r="K47" s="58"/>
      <c r="L47" s="58"/>
      <c r="M47" s="59"/>
      <c r="O47" s="6">
        <v>158585.07195675999</v>
      </c>
      <c r="R47" s="46"/>
    </row>
    <row r="48" spans="1:18" ht="22.5" hidden="1" customHeight="1" x14ac:dyDescent="0.25">
      <c r="A48" s="11">
        <v>9</v>
      </c>
      <c r="B48" s="558" t="s">
        <v>68</v>
      </c>
      <c r="C48" s="558"/>
      <c r="D48" s="49" t="s">
        <v>62</v>
      </c>
      <c r="E48" s="56">
        <v>6.4000000000000001E-2</v>
      </c>
      <c r="F48" s="57" t="e">
        <f t="shared" si="34"/>
        <v>#DIV/0!</v>
      </c>
      <c r="G48" s="559"/>
      <c r="H48" s="560"/>
      <c r="I48" s="52" t="e">
        <f t="shared" si="35"/>
        <v>#DIV/0!</v>
      </c>
      <c r="J48" s="53"/>
      <c r="K48" s="58"/>
      <c r="L48" s="58"/>
      <c r="M48" s="59"/>
      <c r="O48" s="45"/>
      <c r="R48" s="46"/>
    </row>
    <row r="49" spans="1:19" ht="22.5" hidden="1" customHeight="1" x14ac:dyDescent="0.25">
      <c r="A49" s="11">
        <v>10</v>
      </c>
      <c r="B49" s="558" t="s">
        <v>69</v>
      </c>
      <c r="C49" s="558"/>
      <c r="D49" s="49" t="s">
        <v>62</v>
      </c>
      <c r="E49" s="65">
        <v>1.5900000000000001E-2</v>
      </c>
      <c r="F49" s="66"/>
      <c r="G49" s="559"/>
      <c r="H49" s="560"/>
      <c r="I49" s="52"/>
      <c r="J49" s="53"/>
      <c r="K49" s="573" t="s">
        <v>70</v>
      </c>
      <c r="L49" s="573"/>
      <c r="M49" s="59"/>
      <c r="N49" s="64"/>
      <c r="O49" s="45"/>
      <c r="R49" s="46"/>
    </row>
    <row r="50" spans="1:19" ht="24" hidden="1" customHeight="1" x14ac:dyDescent="0.25">
      <c r="A50" s="11">
        <v>11</v>
      </c>
      <c r="B50" s="572" t="s">
        <v>71</v>
      </c>
      <c r="C50" s="572"/>
      <c r="D50" s="62" t="s">
        <v>56</v>
      </c>
      <c r="E50" s="63">
        <v>4.8000000000000001E-2</v>
      </c>
      <c r="F50" s="57" t="e">
        <f t="shared" si="34"/>
        <v>#DIV/0!</v>
      </c>
      <c r="G50" s="574"/>
      <c r="H50" s="575"/>
      <c r="I50" s="52" t="e">
        <f>+(E50-F50)*$O$39</f>
        <v>#DIV/0!</v>
      </c>
      <c r="J50" s="53"/>
      <c r="K50" s="561"/>
      <c r="L50" s="576"/>
      <c r="M50" s="577"/>
      <c r="O50" s="45"/>
      <c r="R50" s="46"/>
    </row>
    <row r="51" spans="1:19" ht="22.5" hidden="1" customHeight="1" x14ac:dyDescent="0.25">
      <c r="A51" s="11">
        <v>12</v>
      </c>
      <c r="B51" s="583" t="s">
        <v>72</v>
      </c>
      <c r="C51" s="584"/>
      <c r="D51" s="49" t="s">
        <v>56</v>
      </c>
      <c r="E51" s="65">
        <v>2.7000000000000001E-3</v>
      </c>
      <c r="F51" s="66" t="e">
        <f>+G51/$O$39</f>
        <v>#DIV/0!</v>
      </c>
      <c r="G51" s="574"/>
      <c r="H51" s="575"/>
      <c r="I51" s="52" t="e">
        <f>+(E51-F51)*$O$39</f>
        <v>#DIV/0!</v>
      </c>
      <c r="J51" s="53"/>
      <c r="K51" s="67"/>
      <c r="L51" s="67"/>
      <c r="M51" s="68"/>
      <c r="O51" s="45"/>
      <c r="R51" s="46"/>
    </row>
    <row r="52" spans="1:19" ht="22.5" customHeight="1" x14ac:dyDescent="0.25">
      <c r="A52" s="2" t="s">
        <v>73</v>
      </c>
      <c r="B52" s="7"/>
      <c r="C52" s="7"/>
      <c r="D52" s="7"/>
      <c r="E52" s="7"/>
      <c r="F52" s="7"/>
      <c r="G52" s="7"/>
      <c r="J52" s="7"/>
      <c r="K52" s="7"/>
      <c r="L52" s="7"/>
      <c r="M52" s="7"/>
    </row>
    <row r="53" spans="1:19" ht="33" customHeight="1" x14ac:dyDescent="0.25">
      <c r="A53" s="9" t="s">
        <v>47</v>
      </c>
      <c r="B53" s="524" t="s">
        <v>48</v>
      </c>
      <c r="C53" s="524"/>
      <c r="D53" s="9" t="s">
        <v>17</v>
      </c>
      <c r="E53" s="9" t="s">
        <v>49</v>
      </c>
      <c r="F53" s="9" t="s">
        <v>50</v>
      </c>
      <c r="G53" s="528" t="s">
        <v>51</v>
      </c>
      <c r="H53" s="529"/>
      <c r="I53" s="9" t="s">
        <v>52</v>
      </c>
      <c r="J53" s="9" t="s">
        <v>53</v>
      </c>
      <c r="K53" s="528" t="s">
        <v>35</v>
      </c>
      <c r="L53" s="557"/>
      <c r="M53" s="529"/>
      <c r="N53" s="47" t="s">
        <v>54</v>
      </c>
      <c r="O53" s="48">
        <f>+O54+O55</f>
        <v>415738.5</v>
      </c>
      <c r="P53" s="47" t="s">
        <v>13</v>
      </c>
      <c r="Q53" s="47">
        <f>+Q54+Q55</f>
        <v>1152</v>
      </c>
    </row>
    <row r="54" spans="1:19" ht="18" customHeight="1" x14ac:dyDescent="0.25">
      <c r="A54" s="11">
        <v>1</v>
      </c>
      <c r="B54" s="585" t="s">
        <v>74</v>
      </c>
      <c r="C54" s="585"/>
      <c r="D54" s="62" t="s">
        <v>56</v>
      </c>
      <c r="E54" s="50">
        <v>21.26</v>
      </c>
      <c r="F54" s="51">
        <f>+G54/$O$53</f>
        <v>20.426395390371592</v>
      </c>
      <c r="G54" s="578">
        <f>+[2]T3!$I$79-394753</f>
        <v>8492038.9800000004</v>
      </c>
      <c r="H54" s="579"/>
      <c r="I54" s="69">
        <f>+(E54-F54)*$O$53</f>
        <v>346561.53000000044</v>
      </c>
      <c r="J54" s="53">
        <f t="shared" ref="J54:J67" si="36">+(F54-E54)*$O$55</f>
        <v>0</v>
      </c>
      <c r="K54" s="561" t="s">
        <v>75</v>
      </c>
      <c r="L54" s="562"/>
      <c r="M54" s="563"/>
      <c r="N54" s="54" t="s">
        <v>76</v>
      </c>
      <c r="O54" s="55">
        <v>415738.5</v>
      </c>
      <c r="P54" s="55"/>
      <c r="Q54" s="55">
        <v>1152</v>
      </c>
      <c r="R54" s="46"/>
    </row>
    <row r="55" spans="1:19" ht="18" customHeight="1" x14ac:dyDescent="0.25">
      <c r="A55" s="11">
        <v>2</v>
      </c>
      <c r="B55" s="558" t="s">
        <v>77</v>
      </c>
      <c r="C55" s="558"/>
      <c r="D55" s="49" t="s">
        <v>56</v>
      </c>
      <c r="E55" s="56">
        <v>0.28000000000000003</v>
      </c>
      <c r="F55" s="57">
        <f>+G55/$O$54</f>
        <v>0.25406523571908785</v>
      </c>
      <c r="G55" s="578">
        <v>105624.7</v>
      </c>
      <c r="H55" s="579"/>
      <c r="I55" s="69">
        <f>+(E55-F55)*$O$54</f>
        <v>10782.080000000009</v>
      </c>
      <c r="J55" s="53">
        <f t="shared" si="36"/>
        <v>0</v>
      </c>
      <c r="K55" s="561"/>
      <c r="L55" s="562"/>
      <c r="M55" s="563"/>
      <c r="N55" s="54" t="s">
        <v>78</v>
      </c>
      <c r="O55" s="55"/>
      <c r="P55" s="55"/>
      <c r="Q55" s="55"/>
      <c r="R55" s="46"/>
    </row>
    <row r="56" spans="1:19" ht="18" customHeight="1" x14ac:dyDescent="0.25">
      <c r="A56" s="11">
        <v>3</v>
      </c>
      <c r="B56" s="583" t="s">
        <v>79</v>
      </c>
      <c r="C56" s="584"/>
      <c r="D56" s="49" t="s">
        <v>56</v>
      </c>
      <c r="E56" s="56">
        <v>0.39</v>
      </c>
      <c r="F56" s="70"/>
      <c r="G56" s="559"/>
      <c r="H56" s="560"/>
      <c r="I56" s="69">
        <f>+(E56-F56)*$O$55</f>
        <v>0</v>
      </c>
      <c r="J56" s="53">
        <f t="shared" si="36"/>
        <v>0</v>
      </c>
      <c r="K56" s="58"/>
      <c r="L56" s="58"/>
      <c r="M56" s="61"/>
      <c r="N56" s="71"/>
      <c r="O56" s="71"/>
      <c r="P56" s="71"/>
      <c r="R56" s="46"/>
      <c r="S56" s="6" t="e">
        <f>+I56/G56*100</f>
        <v>#DIV/0!</v>
      </c>
    </row>
    <row r="57" spans="1:19" ht="18" customHeight="1" x14ac:dyDescent="0.25">
      <c r="A57" s="11">
        <v>4</v>
      </c>
      <c r="B57" s="558" t="s">
        <v>80</v>
      </c>
      <c r="C57" s="558"/>
      <c r="D57" s="49" t="s">
        <v>56</v>
      </c>
      <c r="E57" s="56">
        <v>9.8000000000000004E-2</v>
      </c>
      <c r="F57" s="57">
        <f>+G57/$O$54</f>
        <v>9.2790059135730754E-2</v>
      </c>
      <c r="G57" s="578">
        <v>38576.400000000001</v>
      </c>
      <c r="H57" s="579"/>
      <c r="I57" s="69">
        <f>+(E57-F57)*$O$54</f>
        <v>2165.9730000000013</v>
      </c>
      <c r="J57" s="53">
        <f t="shared" si="36"/>
        <v>0</v>
      </c>
      <c r="K57" s="561"/>
      <c r="L57" s="562"/>
      <c r="M57" s="563"/>
      <c r="N57" s="72">
        <v>43127.707000000009</v>
      </c>
      <c r="O57" s="71"/>
      <c r="P57" s="73">
        <f>+[2]T3!$I$70+[2]T3!$I$77</f>
        <v>360521.54969004891</v>
      </c>
      <c r="R57" s="46"/>
      <c r="S57" s="6">
        <f>+I57/G57*100</f>
        <v>5.6147618751360966</v>
      </c>
    </row>
    <row r="58" spans="1:19" s="76" customFormat="1" ht="18" customHeight="1" x14ac:dyDescent="0.25">
      <c r="A58" s="11">
        <v>5</v>
      </c>
      <c r="B58" s="583" t="s">
        <v>81</v>
      </c>
      <c r="C58" s="584"/>
      <c r="D58" s="49" t="s">
        <v>56</v>
      </c>
      <c r="E58" s="63">
        <v>0.39</v>
      </c>
      <c r="F58" s="57"/>
      <c r="G58" s="559"/>
      <c r="H58" s="560"/>
      <c r="I58" s="69"/>
      <c r="J58" s="53">
        <f>+(F58-E58)*$O$55</f>
        <v>0</v>
      </c>
      <c r="K58" s="58"/>
      <c r="L58" s="58"/>
      <c r="M58" s="74"/>
      <c r="N58" s="72">
        <v>7296226.4150943384</v>
      </c>
      <c r="O58" s="75">
        <f>+N58-N59</f>
        <v>7019296.6383545632</v>
      </c>
      <c r="P58" s="75"/>
      <c r="R58" s="77"/>
    </row>
    <row r="59" spans="1:19" s="76" customFormat="1" ht="18" customHeight="1" x14ac:dyDescent="0.25">
      <c r="A59" s="11">
        <v>6</v>
      </c>
      <c r="B59" s="558" t="s">
        <v>82</v>
      </c>
      <c r="C59" s="558"/>
      <c r="D59" s="49" t="s">
        <v>56</v>
      </c>
      <c r="E59" s="78">
        <v>0.11899999999999999</v>
      </c>
      <c r="F59" s="57">
        <f>+G59/$O$54</f>
        <v>0.11459915307338628</v>
      </c>
      <c r="G59" s="559">
        <v>47643.28</v>
      </c>
      <c r="H59" s="560"/>
      <c r="I59" s="69">
        <f t="shared" ref="I59" si="37">+(E59-F59)*$O$54</f>
        <v>1829.6014999999966</v>
      </c>
      <c r="J59" s="53">
        <f t="shared" si="36"/>
        <v>0</v>
      </c>
      <c r="K59" s="58"/>
      <c r="L59" s="58"/>
      <c r="M59" s="74"/>
      <c r="N59" s="75">
        <v>276929.77673977503</v>
      </c>
      <c r="O59" s="75"/>
      <c r="P59" s="75"/>
      <c r="R59" s="77"/>
    </row>
    <row r="60" spans="1:19" ht="18" customHeight="1" x14ac:dyDescent="0.25">
      <c r="A60" s="11">
        <v>7</v>
      </c>
      <c r="B60" s="583" t="s">
        <v>83</v>
      </c>
      <c r="C60" s="584"/>
      <c r="D60" s="49" t="s">
        <v>62</v>
      </c>
      <c r="E60" s="63">
        <v>0.66900000000000004</v>
      </c>
      <c r="F60" s="57">
        <f t="shared" ref="F60:F66" si="38">+G60/$O$53</f>
        <v>0.66844903707498826</v>
      </c>
      <c r="G60" s="559">
        <v>277900</v>
      </c>
      <c r="H60" s="560"/>
      <c r="I60" s="69">
        <f t="shared" ref="I60:I66" si="39">+(E60-F60)*$O$53</f>
        <v>229.0565000000089</v>
      </c>
      <c r="J60" s="53">
        <f t="shared" si="36"/>
        <v>0</v>
      </c>
      <c r="K60" s="58"/>
      <c r="L60" s="58"/>
      <c r="M60" s="59"/>
      <c r="N60" s="71">
        <v>231300</v>
      </c>
      <c r="O60" s="6"/>
      <c r="R60" s="46"/>
    </row>
    <row r="61" spans="1:19" ht="18" customHeight="1" x14ac:dyDescent="0.25">
      <c r="A61" s="11">
        <v>8</v>
      </c>
      <c r="B61" s="583" t="s">
        <v>84</v>
      </c>
      <c r="C61" s="584"/>
      <c r="D61" s="49" t="s">
        <v>56</v>
      </c>
      <c r="E61" s="56">
        <v>0.02</v>
      </c>
      <c r="F61" s="57">
        <f t="shared" si="38"/>
        <v>1.9495428015447212E-2</v>
      </c>
      <c r="G61" s="559">
        <v>8105</v>
      </c>
      <c r="H61" s="560"/>
      <c r="I61" s="69">
        <f t="shared" si="39"/>
        <v>209.76999999999958</v>
      </c>
      <c r="J61" s="53">
        <f t="shared" si="36"/>
        <v>0</v>
      </c>
      <c r="K61" s="58"/>
      <c r="L61" s="58"/>
      <c r="M61" s="59"/>
      <c r="O61" s="45"/>
      <c r="P61" s="79"/>
      <c r="R61" s="46"/>
    </row>
    <row r="62" spans="1:19" ht="18" customHeight="1" x14ac:dyDescent="0.25">
      <c r="A62" s="11">
        <v>9</v>
      </c>
      <c r="B62" s="583" t="s">
        <v>64</v>
      </c>
      <c r="C62" s="584"/>
      <c r="D62" s="49" t="s">
        <v>56</v>
      </c>
      <c r="E62" s="65">
        <v>2.01E-2</v>
      </c>
      <c r="F62" s="66">
        <f t="shared" si="38"/>
        <v>1.2988934149711898E-2</v>
      </c>
      <c r="G62" s="559">
        <v>5400</v>
      </c>
      <c r="H62" s="560"/>
      <c r="I62" s="69">
        <f t="shared" si="39"/>
        <v>2956.3438500000002</v>
      </c>
      <c r="J62" s="53">
        <f t="shared" si="36"/>
        <v>0</v>
      </c>
      <c r="K62" s="58"/>
      <c r="L62" s="58"/>
      <c r="M62" s="59"/>
      <c r="N62" s="64"/>
      <c r="O62" s="45"/>
      <c r="R62" s="46"/>
    </row>
    <row r="63" spans="1:19" ht="18" customHeight="1" x14ac:dyDescent="0.25">
      <c r="A63" s="11">
        <v>10</v>
      </c>
      <c r="B63" s="583" t="s">
        <v>65</v>
      </c>
      <c r="C63" s="584"/>
      <c r="D63" s="49" t="s">
        <v>56</v>
      </c>
      <c r="E63" s="50">
        <v>1.84</v>
      </c>
      <c r="F63" s="51">
        <f t="shared" si="38"/>
        <v>1.8780651779904916</v>
      </c>
      <c r="G63" s="574">
        <v>780784</v>
      </c>
      <c r="H63" s="575"/>
      <c r="I63" s="69">
        <v>0</v>
      </c>
      <c r="J63" s="80">
        <f>+(F63-E63)*$O$54</f>
        <v>15825.15999999994</v>
      </c>
      <c r="K63" s="589" t="s">
        <v>85</v>
      </c>
      <c r="L63" s="590"/>
      <c r="M63" s="591"/>
      <c r="N63" s="81"/>
      <c r="O63" s="6"/>
      <c r="R63" s="46"/>
    </row>
    <row r="64" spans="1:19" ht="18" customHeight="1" x14ac:dyDescent="0.25">
      <c r="A64" s="11">
        <v>11</v>
      </c>
      <c r="B64" s="583" t="s">
        <v>67</v>
      </c>
      <c r="C64" s="584"/>
      <c r="D64" s="49" t="s">
        <v>56</v>
      </c>
      <c r="E64" s="65">
        <v>7.6E-3</v>
      </c>
      <c r="F64" s="66">
        <f t="shared" si="38"/>
        <v>5.9652882761639832E-3</v>
      </c>
      <c r="G64" s="559">
        <v>2480</v>
      </c>
      <c r="H64" s="560"/>
      <c r="I64" s="69">
        <f t="shared" si="39"/>
        <v>679.61259999999982</v>
      </c>
      <c r="J64" s="53">
        <f t="shared" si="36"/>
        <v>0</v>
      </c>
      <c r="K64" s="58"/>
      <c r="L64" s="58"/>
      <c r="M64" s="59"/>
      <c r="N64" s="64"/>
      <c r="O64" s="45"/>
      <c r="R64" s="46"/>
    </row>
    <row r="65" spans="1:18" ht="18" customHeight="1" x14ac:dyDescent="0.25">
      <c r="A65" s="11">
        <v>12</v>
      </c>
      <c r="B65" s="583" t="s">
        <v>68</v>
      </c>
      <c r="C65" s="584"/>
      <c r="D65" s="49" t="s">
        <v>62</v>
      </c>
      <c r="E65" s="56">
        <v>4.2999999999999997E-2</v>
      </c>
      <c r="F65" s="57">
        <f t="shared" si="38"/>
        <v>3.8485730813961179E-2</v>
      </c>
      <c r="G65" s="559">
        <v>16000</v>
      </c>
      <c r="H65" s="560"/>
      <c r="I65" s="69">
        <f t="shared" si="39"/>
        <v>1876.7554999999991</v>
      </c>
      <c r="J65" s="53">
        <f t="shared" si="36"/>
        <v>0</v>
      </c>
      <c r="K65" s="586"/>
      <c r="L65" s="587"/>
      <c r="M65" s="59"/>
      <c r="N65" s="64"/>
      <c r="O65" s="45"/>
      <c r="R65" s="46">
        <f>+O65-H65</f>
        <v>0</v>
      </c>
    </row>
    <row r="66" spans="1:18" ht="18" customHeight="1" x14ac:dyDescent="0.25">
      <c r="A66" s="11">
        <v>13</v>
      </c>
      <c r="B66" s="583" t="s">
        <v>69</v>
      </c>
      <c r="C66" s="584"/>
      <c r="D66" s="49" t="s">
        <v>62</v>
      </c>
      <c r="E66" s="65">
        <v>1.0699999999999999E-2</v>
      </c>
      <c r="F66" s="57">
        <f t="shared" si="38"/>
        <v>1.0463308065045696E-2</v>
      </c>
      <c r="G66" s="559">
        <v>4350</v>
      </c>
      <c r="H66" s="560"/>
      <c r="I66" s="69">
        <f t="shared" si="39"/>
        <v>98.401949999999871</v>
      </c>
      <c r="J66" s="53">
        <f>+(F66-E66)*$O$55</f>
        <v>0</v>
      </c>
      <c r="K66" s="586" t="s">
        <v>86</v>
      </c>
      <c r="L66" s="587"/>
      <c r="M66" s="59"/>
      <c r="N66" s="64"/>
      <c r="O66" s="45"/>
      <c r="R66" s="46">
        <f>+O66-H66</f>
        <v>0</v>
      </c>
    </row>
    <row r="67" spans="1:18" ht="18" customHeight="1" x14ac:dyDescent="0.25">
      <c r="A67" s="11">
        <v>14</v>
      </c>
      <c r="B67" s="583" t="s">
        <v>71</v>
      </c>
      <c r="C67" s="584"/>
      <c r="D67" s="49" t="s">
        <v>62</v>
      </c>
      <c r="E67" s="56">
        <v>0.06</v>
      </c>
      <c r="F67" s="57">
        <f>+G67/$O$53</f>
        <v>5.5142836181878756E-2</v>
      </c>
      <c r="G67" s="574">
        <v>22925</v>
      </c>
      <c r="H67" s="575"/>
      <c r="I67" s="69">
        <f>+(E67-F67)*$O$53</f>
        <v>2019.3099999999979</v>
      </c>
      <c r="J67" s="53">
        <f t="shared" si="36"/>
        <v>0</v>
      </c>
      <c r="K67" s="588"/>
      <c r="L67" s="576"/>
      <c r="M67" s="577"/>
      <c r="O67" s="45"/>
      <c r="R67" s="46"/>
    </row>
    <row r="68" spans="1:18" ht="22.5" hidden="1" customHeight="1" x14ac:dyDescent="0.25">
      <c r="A68" s="11">
        <v>15</v>
      </c>
      <c r="B68" s="583" t="s">
        <v>87</v>
      </c>
      <c r="C68" s="584"/>
      <c r="D68" s="49" t="s">
        <v>56</v>
      </c>
      <c r="E68" s="65">
        <v>2.0999999999999999E-3</v>
      </c>
      <c r="F68" s="66">
        <f>+G68/$O$53</f>
        <v>0</v>
      </c>
      <c r="G68" s="574"/>
      <c r="H68" s="575"/>
      <c r="I68" s="69"/>
      <c r="J68" s="53"/>
      <c r="K68" s="67"/>
      <c r="L68" s="67"/>
      <c r="M68" s="68"/>
      <c r="O68" s="45"/>
      <c r="R68" s="46"/>
    </row>
    <row r="69" spans="1:18" ht="22.5" hidden="1" customHeight="1" x14ac:dyDescent="0.25">
      <c r="A69" s="11">
        <v>16</v>
      </c>
      <c r="B69" s="583" t="s">
        <v>88</v>
      </c>
      <c r="C69" s="584"/>
      <c r="D69" s="49" t="s">
        <v>56</v>
      </c>
      <c r="E69" s="65">
        <v>1.2999999999999999E-3</v>
      </c>
      <c r="F69" s="66">
        <f>+G69/$O$53</f>
        <v>0</v>
      </c>
      <c r="G69" s="574"/>
      <c r="H69" s="575"/>
      <c r="I69" s="69"/>
      <c r="J69" s="53"/>
      <c r="K69" s="67"/>
      <c r="L69" s="67"/>
      <c r="M69" s="68"/>
      <c r="O69" s="45"/>
      <c r="R69" s="46"/>
    </row>
    <row r="70" spans="1:18" ht="22.5" hidden="1" customHeight="1" x14ac:dyDescent="0.25">
      <c r="A70" s="11">
        <v>13</v>
      </c>
      <c r="B70" s="583" t="s">
        <v>72</v>
      </c>
      <c r="C70" s="584"/>
      <c r="D70" s="49" t="s">
        <v>56</v>
      </c>
      <c r="E70" s="65">
        <v>2.0999999999999999E-3</v>
      </c>
      <c r="F70" s="70" t="e">
        <f>+G70/#REF!</f>
        <v>#REF!</v>
      </c>
      <c r="G70" s="574"/>
      <c r="H70" s="575"/>
      <c r="I70" s="69"/>
      <c r="J70" s="53"/>
      <c r="K70" s="67"/>
      <c r="L70" s="67"/>
      <c r="M70" s="68"/>
      <c r="O70" s="45"/>
      <c r="R70" s="46"/>
    </row>
    <row r="71" spans="1:18" s="38" customFormat="1" ht="30" customHeight="1" x14ac:dyDescent="0.25">
      <c r="A71" s="82" t="s">
        <v>89</v>
      </c>
      <c r="B71" s="7"/>
      <c r="C71" s="7"/>
      <c r="D71" s="7"/>
      <c r="E71" s="7"/>
      <c r="F71" s="7"/>
      <c r="G71" s="83"/>
      <c r="H71" s="5"/>
      <c r="I71" s="6"/>
      <c r="J71" s="7"/>
      <c r="K71" s="7"/>
      <c r="L71" s="7"/>
      <c r="M71" s="7"/>
    </row>
    <row r="72" spans="1:18" s="86" customFormat="1" ht="16.5" customHeight="1" x14ac:dyDescent="0.25">
      <c r="A72" s="592"/>
      <c r="B72" s="592"/>
      <c r="C72" s="592"/>
      <c r="D72" s="592"/>
      <c r="E72" s="592"/>
      <c r="F72" s="84"/>
      <c r="G72" s="84"/>
      <c r="H72" s="85"/>
      <c r="I72" s="85"/>
      <c r="J72" s="84"/>
      <c r="K72" s="84"/>
      <c r="L72" s="84"/>
      <c r="M72" s="84"/>
    </row>
    <row r="73" spans="1:18" s="38" customFormat="1" ht="13.5" customHeight="1" x14ac:dyDescent="0.25">
      <c r="A73" s="87"/>
      <c r="B73" s="7"/>
      <c r="C73" s="7"/>
      <c r="D73" s="7"/>
      <c r="E73" s="7"/>
      <c r="F73" s="7"/>
      <c r="G73" s="7"/>
      <c r="H73" s="5"/>
      <c r="I73" s="6"/>
      <c r="J73" s="7"/>
      <c r="K73" s="7"/>
      <c r="L73" s="7"/>
      <c r="M73" s="7"/>
    </row>
    <row r="74" spans="1:18" s="38" customFormat="1" ht="18.75" customHeight="1" x14ac:dyDescent="0.25">
      <c r="A74" s="87"/>
      <c r="B74" s="7"/>
      <c r="C74" s="7"/>
      <c r="D74" s="7"/>
      <c r="E74" s="7"/>
      <c r="F74" s="7"/>
      <c r="G74" s="7"/>
      <c r="H74" s="5"/>
      <c r="I74" s="6"/>
      <c r="J74" s="7"/>
      <c r="K74" s="7"/>
      <c r="L74" s="7"/>
      <c r="M74" s="7"/>
    </row>
    <row r="75" spans="1:18" s="38" customFormat="1" ht="18.75" customHeight="1" x14ac:dyDescent="0.25">
      <c r="A75" s="87"/>
      <c r="B75" s="7"/>
      <c r="C75" s="7"/>
      <c r="D75" s="7"/>
      <c r="E75" s="7"/>
      <c r="F75" s="7"/>
      <c r="G75" s="7"/>
      <c r="H75" s="5"/>
      <c r="I75" s="6"/>
      <c r="J75" s="7"/>
      <c r="K75" s="7"/>
      <c r="L75" s="7"/>
      <c r="M75" s="7"/>
    </row>
    <row r="76" spans="1:18" s="38" customFormat="1" ht="18.75" customHeight="1" x14ac:dyDescent="0.25">
      <c r="A76" s="87"/>
      <c r="B76" s="7"/>
      <c r="C76" s="7"/>
      <c r="D76" s="7"/>
      <c r="E76" s="7"/>
      <c r="F76" s="7"/>
      <c r="G76" s="7"/>
      <c r="H76" s="5"/>
      <c r="I76" s="6"/>
      <c r="J76" s="7"/>
      <c r="K76" s="7"/>
      <c r="L76" s="7"/>
      <c r="M76" s="7"/>
    </row>
    <row r="77" spans="1:18" s="38" customFormat="1" ht="18.75" customHeight="1" x14ac:dyDescent="0.25">
      <c r="A77" s="87"/>
      <c r="B77" s="7"/>
      <c r="C77" s="7"/>
      <c r="D77" s="7"/>
      <c r="E77" s="7"/>
      <c r="F77" s="7"/>
      <c r="G77" s="7"/>
      <c r="H77" s="5"/>
      <c r="I77" s="6"/>
      <c r="J77" s="7"/>
      <c r="K77" s="7"/>
      <c r="L77" s="7"/>
      <c r="M77" s="7"/>
    </row>
    <row r="78" spans="1:18" s="38" customFormat="1" ht="18.75" customHeight="1" x14ac:dyDescent="0.25">
      <c r="A78" s="87"/>
      <c r="B78" s="7"/>
      <c r="C78" s="7"/>
      <c r="D78" s="7"/>
      <c r="E78" s="7"/>
      <c r="F78" s="7"/>
      <c r="G78" s="7"/>
      <c r="H78" s="5"/>
      <c r="I78" s="6"/>
      <c r="J78" s="7"/>
      <c r="K78" s="7"/>
      <c r="L78" s="7"/>
      <c r="M78" s="7"/>
    </row>
    <row r="79" spans="1:18" s="38" customFormat="1" ht="18.75" customHeight="1" x14ac:dyDescent="0.25">
      <c r="A79" s="87"/>
      <c r="B79" s="7"/>
      <c r="C79" s="7"/>
      <c r="D79" s="7"/>
      <c r="E79" s="7"/>
      <c r="F79" s="7"/>
      <c r="G79" s="7"/>
      <c r="H79" s="5"/>
      <c r="I79" s="6"/>
      <c r="J79" s="7"/>
      <c r="K79" s="7"/>
      <c r="L79" s="7"/>
      <c r="M79" s="7"/>
    </row>
    <row r="80" spans="1:18" s="38" customFormat="1" ht="18.75" customHeight="1" x14ac:dyDescent="0.25">
      <c r="A80" s="87"/>
      <c r="B80" s="7"/>
      <c r="C80" s="7"/>
      <c r="D80" s="7"/>
      <c r="E80" s="7"/>
      <c r="F80" s="7"/>
      <c r="G80" s="7"/>
      <c r="H80" s="5"/>
      <c r="I80" s="6"/>
      <c r="J80" s="7"/>
      <c r="K80" s="7"/>
      <c r="L80" s="7"/>
      <c r="M80" s="7"/>
    </row>
    <row r="81" spans="1:13" s="38" customFormat="1" ht="33.75" customHeight="1" x14ac:dyDescent="0.25">
      <c r="A81" s="88"/>
      <c r="B81" s="7"/>
      <c r="C81" s="7"/>
      <c r="D81" s="7"/>
      <c r="E81" s="7"/>
      <c r="F81" s="7"/>
      <c r="G81" s="7"/>
      <c r="H81" s="5"/>
      <c r="I81" s="6"/>
      <c r="J81" s="7"/>
      <c r="K81" s="7"/>
      <c r="L81" s="7"/>
      <c r="M81" s="7"/>
    </row>
    <row r="82" spans="1:13" s="38" customFormat="1" ht="27.75" hidden="1" customHeight="1" x14ac:dyDescent="0.25">
      <c r="A82" s="88"/>
      <c r="B82" s="7"/>
      <c r="C82" s="7"/>
      <c r="D82" s="7"/>
      <c r="E82" s="7"/>
      <c r="F82" s="7"/>
      <c r="G82" s="7"/>
      <c r="H82" s="5"/>
      <c r="I82" s="6"/>
      <c r="J82" s="7"/>
      <c r="K82" s="7"/>
      <c r="L82" s="7"/>
      <c r="M82" s="7"/>
    </row>
    <row r="83" spans="1:13" s="38" customFormat="1" ht="27.75" hidden="1" customHeight="1" x14ac:dyDescent="0.25">
      <c r="A83" s="88"/>
      <c r="B83" s="7"/>
      <c r="C83" s="7"/>
      <c r="D83" s="7"/>
      <c r="E83" s="7"/>
      <c r="F83" s="7"/>
      <c r="G83" s="7"/>
      <c r="H83" s="5"/>
      <c r="I83" s="6"/>
      <c r="J83" s="7"/>
      <c r="K83" s="7"/>
      <c r="L83" s="7"/>
      <c r="M83" s="7"/>
    </row>
    <row r="84" spans="1:13" s="38" customFormat="1" ht="27.75" hidden="1" customHeight="1" x14ac:dyDescent="0.25">
      <c r="A84" s="88"/>
      <c r="B84" s="7"/>
      <c r="C84" s="7"/>
      <c r="D84" s="7"/>
      <c r="E84" s="7"/>
      <c r="F84" s="7"/>
      <c r="G84" s="7"/>
      <c r="H84" s="5"/>
      <c r="I84" s="6"/>
      <c r="J84" s="7"/>
      <c r="K84" s="7"/>
      <c r="L84" s="7"/>
      <c r="M84" s="7"/>
    </row>
    <row r="85" spans="1:13" s="38" customFormat="1" ht="21" hidden="1" customHeight="1" x14ac:dyDescent="0.25">
      <c r="A85" s="88"/>
      <c r="B85" s="7"/>
      <c r="C85" s="7"/>
      <c r="D85" s="7"/>
      <c r="E85" s="7"/>
      <c r="F85" s="7"/>
      <c r="G85" s="7"/>
      <c r="H85" s="5"/>
      <c r="I85" s="6"/>
      <c r="J85" s="7"/>
      <c r="K85" s="7"/>
      <c r="L85" s="7"/>
      <c r="M85" s="7"/>
    </row>
    <row r="86" spans="1:13" s="38" customFormat="1" ht="27.75" hidden="1" customHeight="1" x14ac:dyDescent="0.25">
      <c r="A86" s="88"/>
      <c r="B86" s="7"/>
      <c r="C86" s="7"/>
      <c r="D86" s="7"/>
      <c r="E86" s="7"/>
      <c r="F86" s="7"/>
      <c r="G86" s="7"/>
      <c r="H86" s="5"/>
      <c r="I86" s="6"/>
      <c r="J86" s="7"/>
      <c r="K86" s="7"/>
      <c r="L86" s="7"/>
      <c r="M86" s="7"/>
    </row>
    <row r="87" spans="1:13" s="38" customFormat="1" ht="27.75" hidden="1" customHeight="1" x14ac:dyDescent="0.25">
      <c r="A87" s="88"/>
      <c r="B87" s="7"/>
      <c r="C87" s="7"/>
      <c r="D87" s="7"/>
      <c r="E87" s="7"/>
      <c r="F87" s="7"/>
      <c r="G87" s="7"/>
      <c r="H87" s="5"/>
      <c r="I87" s="6"/>
      <c r="J87" s="7"/>
      <c r="K87" s="7"/>
      <c r="L87" s="7"/>
      <c r="M87" s="7"/>
    </row>
    <row r="88" spans="1:13" s="38" customFormat="1" ht="25.5" hidden="1" customHeight="1" x14ac:dyDescent="0.25">
      <c r="A88" s="592"/>
      <c r="B88" s="592"/>
      <c r="C88" s="592"/>
      <c r="D88" s="592"/>
      <c r="E88" s="592"/>
      <c r="F88" s="7"/>
      <c r="G88" s="7"/>
      <c r="H88" s="5"/>
      <c r="I88" s="6"/>
      <c r="J88" s="7"/>
      <c r="K88" s="7"/>
      <c r="L88" s="7"/>
      <c r="M88" s="7"/>
    </row>
    <row r="89" spans="1:13" s="38" customFormat="1" ht="30" hidden="1" customHeight="1" x14ac:dyDescent="0.25">
      <c r="A89" s="592"/>
      <c r="B89" s="592"/>
      <c r="C89" s="592"/>
      <c r="D89" s="592"/>
      <c r="E89" s="592"/>
      <c r="F89" s="7"/>
      <c r="G89" s="7"/>
      <c r="H89" s="5"/>
      <c r="I89" s="6"/>
      <c r="J89" s="7"/>
      <c r="K89" s="7"/>
      <c r="L89" s="7"/>
      <c r="M89" s="7"/>
    </row>
    <row r="90" spans="1:13" s="38" customFormat="1" ht="15" hidden="1" customHeight="1" x14ac:dyDescent="0.25">
      <c r="A90" s="89"/>
      <c r="B90" s="89"/>
      <c r="C90" s="89"/>
      <c r="D90" s="89"/>
      <c r="E90" s="89"/>
      <c r="F90" s="7"/>
      <c r="G90" s="7"/>
      <c r="H90" s="5"/>
      <c r="I90" s="6"/>
      <c r="J90" s="7"/>
      <c r="K90" s="7"/>
      <c r="L90" s="7"/>
      <c r="M90" s="7"/>
    </row>
    <row r="91" spans="1:13" s="38" customFormat="1" ht="6" hidden="1" customHeight="1" x14ac:dyDescent="0.25">
      <c r="A91" s="89"/>
      <c r="B91" s="89"/>
      <c r="C91" s="89"/>
      <c r="D91" s="89"/>
      <c r="E91" s="89"/>
      <c r="F91" s="7"/>
      <c r="G91" s="7"/>
      <c r="H91" s="5"/>
      <c r="I91" s="6"/>
      <c r="J91" s="7"/>
      <c r="K91" s="7"/>
      <c r="L91" s="7"/>
      <c r="M91" s="7"/>
    </row>
    <row r="92" spans="1:13" ht="18.75" customHeight="1" x14ac:dyDescent="0.25">
      <c r="A92" s="1" t="s">
        <v>90</v>
      </c>
      <c r="B92" s="7"/>
      <c r="C92" s="7"/>
      <c r="D92" s="7"/>
      <c r="E92" s="7"/>
      <c r="F92" s="7"/>
      <c r="G92" s="7"/>
      <c r="J92" s="7"/>
      <c r="K92" s="7"/>
      <c r="L92" s="7"/>
      <c r="M92" s="7"/>
    </row>
    <row r="93" spans="1:13" ht="21" customHeight="1" x14ac:dyDescent="0.25">
      <c r="A93" s="593" t="s">
        <v>91</v>
      </c>
      <c r="B93" s="594"/>
      <c r="C93" s="595"/>
      <c r="D93" s="90" t="s">
        <v>92</v>
      </c>
      <c r="E93" s="90" t="s">
        <v>93</v>
      </c>
      <c r="F93" s="90" t="s">
        <v>94</v>
      </c>
      <c r="G93" s="90" t="s">
        <v>95</v>
      </c>
      <c r="H93" s="527" t="s">
        <v>96</v>
      </c>
      <c r="I93" s="527"/>
      <c r="J93" s="90" t="s">
        <v>97</v>
      </c>
      <c r="K93" s="593" t="s">
        <v>35</v>
      </c>
      <c r="L93" s="594"/>
      <c r="M93" s="595"/>
    </row>
    <row r="94" spans="1:13" ht="18" customHeight="1" x14ac:dyDescent="0.25">
      <c r="A94" s="91">
        <v>1</v>
      </c>
      <c r="B94" s="596" t="s">
        <v>98</v>
      </c>
      <c r="C94" s="596"/>
      <c r="D94" s="69">
        <v>1</v>
      </c>
      <c r="E94" s="69">
        <v>1</v>
      </c>
      <c r="F94" s="69"/>
      <c r="G94" s="92"/>
      <c r="H94" s="603"/>
      <c r="I94" s="603"/>
      <c r="J94" s="69">
        <f>+E94+F94-G94-H94</f>
        <v>1</v>
      </c>
      <c r="K94" s="593"/>
      <c r="L94" s="594"/>
      <c r="M94" s="595"/>
    </row>
    <row r="95" spans="1:13" ht="18" customHeight="1" x14ac:dyDescent="0.25">
      <c r="A95" s="91">
        <v>2</v>
      </c>
      <c r="B95" s="596" t="s">
        <v>99</v>
      </c>
      <c r="C95" s="596"/>
      <c r="D95" s="69">
        <v>5</v>
      </c>
      <c r="E95" s="69">
        <v>5</v>
      </c>
      <c r="F95" s="52"/>
      <c r="G95" s="93"/>
      <c r="H95" s="604">
        <v>1</v>
      </c>
      <c r="I95" s="604"/>
      <c r="J95" s="69">
        <f t="shared" ref="J95:J100" si="40">+E95+F95-G95-H95</f>
        <v>4</v>
      </c>
      <c r="K95" s="593"/>
      <c r="L95" s="594"/>
      <c r="M95" s="595"/>
    </row>
    <row r="96" spans="1:13" ht="18" customHeight="1" x14ac:dyDescent="0.25">
      <c r="A96" s="91">
        <v>3</v>
      </c>
      <c r="B96" s="596" t="s">
        <v>100</v>
      </c>
      <c r="C96" s="596"/>
      <c r="D96" s="69">
        <v>25</v>
      </c>
      <c r="E96" s="69">
        <v>27</v>
      </c>
      <c r="F96" s="69">
        <v>1</v>
      </c>
      <c r="G96" s="69">
        <v>2</v>
      </c>
      <c r="H96" s="597"/>
      <c r="I96" s="597"/>
      <c r="J96" s="69">
        <f>+E96+F96-G96-H96</f>
        <v>26</v>
      </c>
      <c r="K96" s="593"/>
      <c r="L96" s="594"/>
      <c r="M96" s="595"/>
    </row>
    <row r="97" spans="1:15" ht="18" customHeight="1" x14ac:dyDescent="0.25">
      <c r="A97" s="91">
        <v>4</v>
      </c>
      <c r="B97" s="596" t="s">
        <v>101</v>
      </c>
      <c r="C97" s="596"/>
      <c r="D97" s="69">
        <v>30</v>
      </c>
      <c r="E97" s="69">
        <v>27</v>
      </c>
      <c r="F97" s="69">
        <v>1</v>
      </c>
      <c r="G97" s="92"/>
      <c r="H97" s="598"/>
      <c r="I97" s="599"/>
      <c r="J97" s="69">
        <f t="shared" si="40"/>
        <v>28</v>
      </c>
      <c r="K97" s="600"/>
      <c r="L97" s="601"/>
      <c r="M97" s="602"/>
      <c r="O97">
        <f>12*3</f>
        <v>36</v>
      </c>
    </row>
    <row r="98" spans="1:15" ht="18" customHeight="1" x14ac:dyDescent="0.25">
      <c r="A98" s="91">
        <v>5</v>
      </c>
      <c r="B98" s="596" t="s">
        <v>102</v>
      </c>
      <c r="C98" s="596"/>
      <c r="D98" s="69">
        <v>36</v>
      </c>
      <c r="E98" s="69">
        <v>36</v>
      </c>
      <c r="F98" s="69">
        <v>1</v>
      </c>
      <c r="G98" s="92">
        <v>2</v>
      </c>
      <c r="H98" s="607"/>
      <c r="I98" s="607"/>
      <c r="J98" s="69">
        <f>+E98+F98-G98-H98</f>
        <v>35</v>
      </c>
      <c r="K98" s="593"/>
      <c r="L98" s="594"/>
      <c r="M98" s="595"/>
    </row>
    <row r="99" spans="1:15" ht="18" customHeight="1" x14ac:dyDescent="0.25">
      <c r="A99" s="91">
        <v>6</v>
      </c>
      <c r="B99" s="596" t="s">
        <v>103</v>
      </c>
      <c r="C99" s="596"/>
      <c r="D99" s="69">
        <v>6</v>
      </c>
      <c r="E99" s="69">
        <v>6</v>
      </c>
      <c r="F99" s="69"/>
      <c r="G99" s="69"/>
      <c r="H99" s="597"/>
      <c r="I99" s="597"/>
      <c r="J99" s="69">
        <f t="shared" si="40"/>
        <v>6</v>
      </c>
      <c r="K99" s="593"/>
      <c r="L99" s="594"/>
      <c r="M99" s="595"/>
    </row>
    <row r="100" spans="1:15" ht="18" customHeight="1" x14ac:dyDescent="0.25">
      <c r="A100" s="91">
        <v>7</v>
      </c>
      <c r="B100" s="596" t="s">
        <v>104</v>
      </c>
      <c r="C100" s="596"/>
      <c r="D100" s="69">
        <v>1</v>
      </c>
      <c r="E100" s="69">
        <v>1</v>
      </c>
      <c r="F100" s="69"/>
      <c r="G100" s="92"/>
      <c r="H100" s="597"/>
      <c r="I100" s="597"/>
      <c r="J100" s="69">
        <f t="shared" si="40"/>
        <v>1</v>
      </c>
      <c r="K100" s="593"/>
      <c r="L100" s="594"/>
      <c r="M100" s="595"/>
    </row>
    <row r="101" spans="1:15" ht="18" customHeight="1" x14ac:dyDescent="0.25">
      <c r="A101" s="593" t="s">
        <v>105</v>
      </c>
      <c r="B101" s="594"/>
      <c r="C101" s="595"/>
      <c r="D101" s="94">
        <f>SUM(D94:D100)</f>
        <v>104</v>
      </c>
      <c r="E101" s="94">
        <f>SUM(E94:E100)</f>
        <v>103</v>
      </c>
      <c r="F101" s="95">
        <f t="shared" ref="F101:H101" si="41">SUM(F94:F100)</f>
        <v>3</v>
      </c>
      <c r="G101" s="96">
        <f t="shared" si="41"/>
        <v>4</v>
      </c>
      <c r="H101" s="605">
        <f t="shared" si="41"/>
        <v>1</v>
      </c>
      <c r="I101" s="606"/>
      <c r="J101" s="94">
        <f>SUM(J94:J100)</f>
        <v>101</v>
      </c>
      <c r="K101" s="593"/>
      <c r="L101" s="594"/>
      <c r="M101" s="595"/>
    </row>
    <row r="102" spans="1:15" ht="21.75" customHeight="1" x14ac:dyDescent="0.25">
      <c r="A102" s="88" t="s">
        <v>106</v>
      </c>
      <c r="B102" s="97"/>
      <c r="C102" s="97"/>
      <c r="D102" s="98"/>
      <c r="E102" s="98"/>
      <c r="F102" s="99"/>
      <c r="G102" s="100"/>
      <c r="H102" s="101"/>
      <c r="I102" s="101"/>
      <c r="J102" s="98"/>
      <c r="K102" s="97"/>
      <c r="L102" s="97"/>
      <c r="M102" s="97"/>
    </row>
    <row r="103" spans="1:15" ht="31.5" customHeight="1" x14ac:dyDescent="0.25">
      <c r="A103" s="102"/>
      <c r="B103" s="103" t="s">
        <v>47</v>
      </c>
      <c r="C103" s="608" t="s">
        <v>107</v>
      </c>
      <c r="D103" s="608"/>
      <c r="E103" s="103" t="s">
        <v>108</v>
      </c>
      <c r="F103" s="103" t="s">
        <v>109</v>
      </c>
      <c r="G103" s="103" t="s">
        <v>110</v>
      </c>
      <c r="H103" s="608" t="s">
        <v>111</v>
      </c>
      <c r="I103" s="608"/>
      <c r="J103" s="608" t="s">
        <v>112</v>
      </c>
      <c r="K103" s="608"/>
      <c r="L103" s="608"/>
      <c r="M103" s="608"/>
    </row>
    <row r="104" spans="1:15" ht="32.25" customHeight="1" x14ac:dyDescent="0.25">
      <c r="A104" s="609"/>
      <c r="B104" s="104">
        <v>1</v>
      </c>
      <c r="C104" s="610" t="s">
        <v>113</v>
      </c>
      <c r="D104" s="611"/>
      <c r="E104" s="105" t="s">
        <v>114</v>
      </c>
      <c r="F104" s="106" t="s">
        <v>115</v>
      </c>
      <c r="G104" s="107">
        <v>3.2</v>
      </c>
      <c r="H104" s="612" t="s">
        <v>116</v>
      </c>
      <c r="I104" s="613"/>
      <c r="J104" s="614"/>
      <c r="K104" s="614"/>
      <c r="L104" s="614"/>
      <c r="M104" s="614"/>
    </row>
    <row r="105" spans="1:15" ht="18" customHeight="1" x14ac:dyDescent="0.25">
      <c r="A105" s="609"/>
      <c r="B105" s="104">
        <v>2</v>
      </c>
      <c r="C105" s="610" t="s">
        <v>117</v>
      </c>
      <c r="D105" s="611"/>
      <c r="E105" s="108" t="s">
        <v>118</v>
      </c>
      <c r="F105" s="106">
        <v>46000</v>
      </c>
      <c r="G105" s="107">
        <v>300</v>
      </c>
      <c r="H105" s="610" t="s">
        <v>119</v>
      </c>
      <c r="I105" s="611"/>
      <c r="J105" s="614"/>
      <c r="K105" s="614"/>
      <c r="L105" s="614"/>
      <c r="M105" s="614"/>
    </row>
    <row r="106" spans="1:15" ht="18" customHeight="1" x14ac:dyDescent="0.25">
      <c r="A106" s="609"/>
      <c r="B106" s="104">
        <v>3</v>
      </c>
      <c r="C106" s="610" t="s">
        <v>120</v>
      </c>
      <c r="D106" s="611"/>
      <c r="E106" s="105" t="s">
        <v>121</v>
      </c>
      <c r="F106" s="106" t="s">
        <v>122</v>
      </c>
      <c r="G106" s="107">
        <v>57.6</v>
      </c>
      <c r="H106" s="610" t="s">
        <v>123</v>
      </c>
      <c r="I106" s="611"/>
      <c r="J106" s="614"/>
      <c r="K106" s="614"/>
      <c r="L106" s="614"/>
      <c r="M106" s="614"/>
    </row>
    <row r="107" spans="1:15" ht="18" customHeight="1" x14ac:dyDescent="0.25">
      <c r="A107" s="609"/>
      <c r="B107" s="104">
        <v>4</v>
      </c>
      <c r="C107" s="615"/>
      <c r="D107" s="616"/>
      <c r="E107" s="105" t="s">
        <v>124</v>
      </c>
      <c r="F107" s="106" t="s">
        <v>122</v>
      </c>
      <c r="G107" s="107">
        <v>28.8</v>
      </c>
      <c r="H107" s="617"/>
      <c r="I107" s="618"/>
      <c r="J107" s="614"/>
      <c r="K107" s="614"/>
      <c r="L107" s="614"/>
      <c r="M107" s="614"/>
    </row>
    <row r="108" spans="1:15" ht="18" customHeight="1" x14ac:dyDescent="0.25">
      <c r="A108" s="609"/>
      <c r="B108" s="104">
        <v>5</v>
      </c>
      <c r="C108" s="610" t="s">
        <v>125</v>
      </c>
      <c r="D108" s="611"/>
      <c r="E108" s="105" t="s">
        <v>126</v>
      </c>
      <c r="F108" s="106" t="s">
        <v>115</v>
      </c>
      <c r="G108" s="107">
        <v>400</v>
      </c>
      <c r="H108" s="612" t="s">
        <v>127</v>
      </c>
      <c r="I108" s="613"/>
      <c r="J108" s="614"/>
      <c r="K108" s="614"/>
      <c r="L108" s="614"/>
      <c r="M108" s="614"/>
    </row>
    <row r="109" spans="1:15" ht="18" customHeight="1" x14ac:dyDescent="0.25">
      <c r="A109" s="609"/>
      <c r="B109" s="104">
        <v>6</v>
      </c>
      <c r="C109" s="617"/>
      <c r="D109" s="618"/>
      <c r="E109" s="105" t="s">
        <v>128</v>
      </c>
      <c r="F109" s="106" t="s">
        <v>129</v>
      </c>
      <c r="G109" s="107">
        <v>4.8</v>
      </c>
      <c r="H109" s="612" t="s">
        <v>130</v>
      </c>
      <c r="I109" s="613"/>
      <c r="J109" s="614"/>
      <c r="K109" s="614"/>
      <c r="L109" s="614"/>
      <c r="M109" s="614"/>
    </row>
    <row r="110" spans="1:15" ht="18" customHeight="1" x14ac:dyDescent="0.25">
      <c r="A110" s="609"/>
      <c r="B110" s="104">
        <v>7</v>
      </c>
      <c r="C110" s="612" t="s">
        <v>131</v>
      </c>
      <c r="D110" s="613"/>
      <c r="E110" s="105" t="s">
        <v>132</v>
      </c>
      <c r="F110" s="106">
        <v>45878</v>
      </c>
      <c r="G110" s="107">
        <v>595.20000000000005</v>
      </c>
      <c r="H110" s="619" t="s">
        <v>133</v>
      </c>
      <c r="I110" s="619"/>
      <c r="J110" s="614"/>
      <c r="K110" s="614"/>
      <c r="L110" s="614"/>
      <c r="M110" s="614"/>
    </row>
    <row r="111" spans="1:15" ht="18" customHeight="1" x14ac:dyDescent="0.25">
      <c r="A111" s="620" t="s">
        <v>134</v>
      </c>
      <c r="B111" s="621"/>
      <c r="C111" s="621"/>
      <c r="D111" s="621"/>
      <c r="E111" s="621"/>
      <c r="F111" s="622"/>
      <c r="G111" s="109">
        <f>SUM(G104:G110)</f>
        <v>1389.6</v>
      </c>
      <c r="H111" s="623"/>
      <c r="I111" s="623"/>
      <c r="J111" s="623"/>
      <c r="K111" s="623"/>
      <c r="L111" s="623"/>
      <c r="M111" s="623"/>
    </row>
    <row r="112" spans="1:15" ht="17.25" customHeight="1" x14ac:dyDescent="0.25">
      <c r="A112" s="1" t="s">
        <v>135</v>
      </c>
      <c r="B112" s="7"/>
      <c r="C112" s="7"/>
      <c r="D112" s="7"/>
      <c r="E112" s="7"/>
      <c r="F112" s="7"/>
      <c r="G112" s="7"/>
      <c r="H112" s="110"/>
      <c r="I112" s="111"/>
      <c r="J112" s="7"/>
      <c r="K112" s="7"/>
      <c r="L112" s="7"/>
      <c r="M112" s="7"/>
    </row>
    <row r="113" spans="1:15" ht="17.25" customHeight="1" x14ac:dyDescent="0.25">
      <c r="A113" s="1" t="s">
        <v>136</v>
      </c>
      <c r="B113" s="7"/>
      <c r="C113" s="7"/>
      <c r="D113" s="7"/>
      <c r="E113" s="7"/>
      <c r="F113" s="7"/>
      <c r="G113" s="7"/>
      <c r="H113" s="110"/>
      <c r="I113" s="111"/>
      <c r="J113" s="7"/>
      <c r="K113" s="7"/>
      <c r="L113" s="7"/>
      <c r="M113" s="7"/>
    </row>
    <row r="114" spans="1:15" ht="17.25" customHeight="1" x14ac:dyDescent="0.25">
      <c r="A114" s="112" t="s">
        <v>137</v>
      </c>
      <c r="B114" s="7"/>
      <c r="C114" s="7"/>
      <c r="D114" s="7"/>
      <c r="E114" s="7"/>
      <c r="F114" s="7"/>
      <c r="G114" s="7"/>
      <c r="J114" s="7"/>
      <c r="K114" s="7"/>
      <c r="L114" s="7"/>
      <c r="M114" s="7"/>
    </row>
    <row r="115" spans="1:15" ht="17.25" customHeight="1" x14ac:dyDescent="0.25">
      <c r="A115" s="624" t="s">
        <v>6</v>
      </c>
      <c r="B115" s="625"/>
      <c r="C115" s="524" t="s">
        <v>138</v>
      </c>
      <c r="D115" s="542" t="s">
        <v>8</v>
      </c>
      <c r="E115" s="542"/>
      <c r="F115" s="542"/>
      <c r="G115" s="626" t="s">
        <v>139</v>
      </c>
      <c r="H115" s="627" t="s">
        <v>140</v>
      </c>
      <c r="I115" s="113" t="s">
        <v>141</v>
      </c>
      <c r="J115" s="114" t="s">
        <v>12</v>
      </c>
      <c r="K115" s="114" t="s">
        <v>13</v>
      </c>
      <c r="L115" s="114" t="s">
        <v>14</v>
      </c>
      <c r="M115" s="114" t="s">
        <v>142</v>
      </c>
    </row>
    <row r="116" spans="1:15" ht="17.25" customHeight="1" x14ac:dyDescent="0.25">
      <c r="A116" s="114" t="s">
        <v>143</v>
      </c>
      <c r="B116" s="114" t="s">
        <v>17</v>
      </c>
      <c r="C116" s="527"/>
      <c r="D116" s="114" t="s">
        <v>18</v>
      </c>
      <c r="E116" s="114" t="s">
        <v>19</v>
      </c>
      <c r="F116" s="114" t="s">
        <v>20</v>
      </c>
      <c r="G116" s="626"/>
      <c r="H116" s="628"/>
      <c r="I116" s="113" t="s">
        <v>144</v>
      </c>
      <c r="J116" s="114"/>
      <c r="K116" s="114" t="s">
        <v>22</v>
      </c>
      <c r="L116" s="114" t="s">
        <v>23</v>
      </c>
      <c r="M116" s="114" t="s">
        <v>24</v>
      </c>
    </row>
    <row r="117" spans="1:15" ht="17.25" customHeight="1" x14ac:dyDescent="0.25">
      <c r="A117" s="542" t="s">
        <v>145</v>
      </c>
      <c r="B117" s="25" t="s">
        <v>21</v>
      </c>
      <c r="C117" s="116">
        <v>196986</v>
      </c>
      <c r="D117" s="117">
        <v>181463</v>
      </c>
      <c r="E117" s="117">
        <v>5791</v>
      </c>
      <c r="F117" s="117">
        <v>5791</v>
      </c>
      <c r="G117" s="118">
        <v>193046</v>
      </c>
      <c r="H117" s="16">
        <v>14</v>
      </c>
      <c r="I117" s="17">
        <v>13789</v>
      </c>
      <c r="J117" s="119"/>
      <c r="K117" s="119"/>
      <c r="L117" s="120"/>
      <c r="M117" s="119"/>
    </row>
    <row r="118" spans="1:15" ht="17.25" customHeight="1" x14ac:dyDescent="0.25">
      <c r="A118" s="542"/>
      <c r="B118" s="25" t="s">
        <v>26</v>
      </c>
      <c r="C118" s="121"/>
      <c r="D118" s="21">
        <v>94</v>
      </c>
      <c r="E118" s="21">
        <v>3</v>
      </c>
      <c r="F118" s="21">
        <v>3</v>
      </c>
      <c r="G118" s="21">
        <v>100</v>
      </c>
      <c r="H118" s="122"/>
      <c r="I118" s="123"/>
      <c r="J118" s="16">
        <v>98</v>
      </c>
      <c r="K118" s="629">
        <f>100-J118</f>
        <v>2</v>
      </c>
      <c r="L118" s="629"/>
      <c r="M118" s="120">
        <v>100</v>
      </c>
    </row>
    <row r="119" spans="1:15" ht="17.25" customHeight="1" x14ac:dyDescent="0.25">
      <c r="A119" s="542" t="s">
        <v>146</v>
      </c>
      <c r="B119" s="25" t="s">
        <v>21</v>
      </c>
      <c r="C119" s="121">
        <v>229824</v>
      </c>
      <c r="D119" s="117">
        <v>202705</v>
      </c>
      <c r="E119" s="117">
        <v>15766</v>
      </c>
      <c r="F119" s="117">
        <v>6757</v>
      </c>
      <c r="G119" s="117">
        <f>+D119+E119+F119</f>
        <v>225228</v>
      </c>
      <c r="H119" s="16">
        <v>15</v>
      </c>
      <c r="I119" s="17">
        <v>15015</v>
      </c>
      <c r="J119" s="119"/>
      <c r="K119" s="119"/>
      <c r="L119" s="120"/>
      <c r="M119" s="119"/>
    </row>
    <row r="120" spans="1:15" ht="17.25" customHeight="1" x14ac:dyDescent="0.25">
      <c r="A120" s="542"/>
      <c r="B120" s="25" t="s">
        <v>26</v>
      </c>
      <c r="C120" s="121"/>
      <c r="D120" s="21">
        <v>89</v>
      </c>
      <c r="E120" s="21">
        <v>8</v>
      </c>
      <c r="F120" s="21">
        <v>3</v>
      </c>
      <c r="G120" s="21">
        <v>100</v>
      </c>
      <c r="H120" s="122"/>
      <c r="I120" s="123"/>
      <c r="J120" s="16">
        <v>98</v>
      </c>
      <c r="K120" s="629">
        <f>100-J120</f>
        <v>2</v>
      </c>
      <c r="L120" s="629"/>
      <c r="M120" s="120">
        <v>40</v>
      </c>
    </row>
    <row r="121" spans="1:15" ht="17.25" customHeight="1" x14ac:dyDescent="0.25">
      <c r="A121" s="542" t="s">
        <v>147</v>
      </c>
      <c r="B121" s="25" t="s">
        <v>21</v>
      </c>
      <c r="C121" s="121">
        <f>+C117+C119</f>
        <v>426810</v>
      </c>
      <c r="D121" s="117">
        <f>+D117+D119</f>
        <v>384168</v>
      </c>
      <c r="E121" s="117">
        <f>+E117+E119</f>
        <v>21557</v>
      </c>
      <c r="F121" s="117">
        <f>+F117+F119</f>
        <v>12548</v>
      </c>
      <c r="G121" s="117">
        <f>SUM(D121:F121)</f>
        <v>418273</v>
      </c>
      <c r="H121" s="16">
        <f>+H117+H119</f>
        <v>29</v>
      </c>
      <c r="I121" s="17">
        <f>+G121/H121</f>
        <v>14423.206896551725</v>
      </c>
      <c r="J121" s="123"/>
      <c r="K121" s="119"/>
      <c r="L121" s="120"/>
      <c r="M121" s="120"/>
    </row>
    <row r="122" spans="1:15" ht="17.25" customHeight="1" x14ac:dyDescent="0.25">
      <c r="A122" s="542"/>
      <c r="B122" s="25" t="s">
        <v>26</v>
      </c>
      <c r="C122" s="105"/>
      <c r="D122" s="125">
        <f>+D121/G121*100</f>
        <v>91.846234397152102</v>
      </c>
      <c r="E122" s="125">
        <f>+E121/G121*100</f>
        <v>5.1538110277259106</v>
      </c>
      <c r="F122" s="125">
        <f>+F121/G121*100</f>
        <v>2.9999545751219898</v>
      </c>
      <c r="G122" s="21">
        <v>100</v>
      </c>
      <c r="H122" s="122"/>
      <c r="I122" s="122"/>
      <c r="J122" s="16">
        <v>98</v>
      </c>
      <c r="K122" s="629">
        <f>100-J122</f>
        <v>2</v>
      </c>
      <c r="L122" s="629"/>
      <c r="M122" s="67">
        <v>54</v>
      </c>
    </row>
    <row r="123" spans="1:15" ht="17.25" customHeight="1" x14ac:dyDescent="0.25">
      <c r="A123" s="112" t="s">
        <v>148</v>
      </c>
      <c r="B123" s="8"/>
      <c r="C123" s="7"/>
      <c r="D123" s="7"/>
      <c r="E123" s="7"/>
      <c r="F123" s="7"/>
      <c r="G123" s="7"/>
      <c r="J123" s="7"/>
      <c r="K123" s="7"/>
      <c r="L123" s="7"/>
      <c r="M123" s="7"/>
    </row>
    <row r="124" spans="1:15" ht="17.25" customHeight="1" x14ac:dyDescent="0.25">
      <c r="A124" s="624" t="s">
        <v>6</v>
      </c>
      <c r="B124" s="625"/>
      <c r="C124" s="524" t="s">
        <v>138</v>
      </c>
      <c r="D124" s="542" t="s">
        <v>8</v>
      </c>
      <c r="E124" s="542"/>
      <c r="F124" s="542"/>
      <c r="G124" s="626" t="s">
        <v>139</v>
      </c>
      <c r="H124" s="627" t="s">
        <v>149</v>
      </c>
      <c r="I124" s="126" t="s">
        <v>141</v>
      </c>
      <c r="J124" s="628" t="s">
        <v>12</v>
      </c>
      <c r="K124" s="114" t="s">
        <v>13</v>
      </c>
      <c r="L124" s="114" t="s">
        <v>14</v>
      </c>
      <c r="M124" s="114" t="s">
        <v>142</v>
      </c>
      <c r="N124" t="s">
        <v>150</v>
      </c>
    </row>
    <row r="125" spans="1:15" ht="17.25" customHeight="1" x14ac:dyDescent="0.25">
      <c r="A125" s="114" t="s">
        <v>151</v>
      </c>
      <c r="B125" s="114" t="s">
        <v>17</v>
      </c>
      <c r="C125" s="527"/>
      <c r="D125" s="114" t="s">
        <v>18</v>
      </c>
      <c r="E125" s="114" t="s">
        <v>19</v>
      </c>
      <c r="F125" s="114" t="s">
        <v>20</v>
      </c>
      <c r="G125" s="542"/>
      <c r="H125" s="627"/>
      <c r="I125" s="113" t="s">
        <v>144</v>
      </c>
      <c r="J125" s="628"/>
      <c r="K125" s="114" t="s">
        <v>22</v>
      </c>
      <c r="L125" s="114" t="s">
        <v>23</v>
      </c>
      <c r="M125" s="114" t="s">
        <v>24</v>
      </c>
    </row>
    <row r="126" spans="1:15" ht="17.25" customHeight="1" x14ac:dyDescent="0.25">
      <c r="A126" s="542" t="s">
        <v>145</v>
      </c>
      <c r="B126" s="25" t="s">
        <v>21</v>
      </c>
      <c r="C126" s="121">
        <v>200516</v>
      </c>
      <c r="D126" s="127">
        <v>189031</v>
      </c>
      <c r="E126" s="127">
        <v>3938</v>
      </c>
      <c r="F126" s="127">
        <v>3938</v>
      </c>
      <c r="G126" s="127">
        <f>+D126+E126+F126</f>
        <v>196907</v>
      </c>
      <c r="H126" s="16">
        <v>14</v>
      </c>
      <c r="I126" s="128">
        <v>14065</v>
      </c>
      <c r="J126" s="129"/>
      <c r="K126" s="120"/>
      <c r="L126" s="120"/>
      <c r="M126" s="130"/>
      <c r="O126" s="131"/>
    </row>
    <row r="127" spans="1:15" ht="17.25" customHeight="1" x14ac:dyDescent="0.25">
      <c r="A127" s="542"/>
      <c r="B127" s="25" t="s">
        <v>26</v>
      </c>
      <c r="C127" s="105"/>
      <c r="D127" s="21">
        <v>96</v>
      </c>
      <c r="E127" s="21">
        <v>2</v>
      </c>
      <c r="F127" s="21">
        <v>2</v>
      </c>
      <c r="G127" s="21">
        <v>100</v>
      </c>
      <c r="H127" s="129"/>
      <c r="I127" s="128"/>
      <c r="J127" s="132">
        <v>98.2</v>
      </c>
      <c r="K127" s="634">
        <f>100-J127</f>
        <v>1.7999999999999972</v>
      </c>
      <c r="L127" s="634"/>
      <c r="M127" s="134">
        <v>80</v>
      </c>
      <c r="N127" s="131"/>
    </row>
    <row r="128" spans="1:15" ht="17.25" customHeight="1" x14ac:dyDescent="0.25">
      <c r="A128" s="542" t="s">
        <v>146</v>
      </c>
      <c r="B128" s="25" t="s">
        <v>21</v>
      </c>
      <c r="C128" s="121">
        <v>233943</v>
      </c>
      <c r="D128" s="127">
        <v>211354</v>
      </c>
      <c r="E128" s="127">
        <v>13784</v>
      </c>
      <c r="F128" s="127">
        <v>4595</v>
      </c>
      <c r="G128" s="127">
        <v>229732</v>
      </c>
      <c r="H128" s="16">
        <v>15</v>
      </c>
      <c r="I128" s="128">
        <v>15315</v>
      </c>
      <c r="J128" s="129"/>
      <c r="K128" s="120"/>
      <c r="L128" s="120"/>
      <c r="M128" s="130"/>
      <c r="O128" s="131"/>
    </row>
    <row r="129" spans="1:17" ht="17.25" customHeight="1" x14ac:dyDescent="0.25">
      <c r="A129" s="542"/>
      <c r="B129" s="25" t="s">
        <v>26</v>
      </c>
      <c r="C129" s="105"/>
      <c r="D129" s="21">
        <v>92</v>
      </c>
      <c r="E129" s="21">
        <v>6</v>
      </c>
      <c r="F129" s="21">
        <v>2</v>
      </c>
      <c r="G129" s="21">
        <v>100</v>
      </c>
      <c r="H129" s="129"/>
      <c r="I129" s="128"/>
      <c r="J129" s="132">
        <v>98.2</v>
      </c>
      <c r="K129" s="634">
        <f>100-J129</f>
        <v>1.7999999999999972</v>
      </c>
      <c r="L129" s="634"/>
      <c r="M129" s="134">
        <v>25</v>
      </c>
      <c r="N129" s="131"/>
    </row>
    <row r="130" spans="1:17" ht="17.25" customHeight="1" x14ac:dyDescent="0.25">
      <c r="A130" s="542" t="s">
        <v>147</v>
      </c>
      <c r="B130" s="25" t="s">
        <v>21</v>
      </c>
      <c r="C130" s="127">
        <f>+C126+C128</f>
        <v>434459</v>
      </c>
      <c r="D130" s="127">
        <f>+D126+D128</f>
        <v>400385</v>
      </c>
      <c r="E130" s="127">
        <f t="shared" ref="E130:F130" si="42">+E126+E128</f>
        <v>17722</v>
      </c>
      <c r="F130" s="127">
        <f t="shared" si="42"/>
        <v>8533</v>
      </c>
      <c r="G130" s="127">
        <f>+D130+E130+F130</f>
        <v>426640</v>
      </c>
      <c r="H130" s="132">
        <f>+H126+H128</f>
        <v>29</v>
      </c>
      <c r="I130" s="128">
        <f>+G130/H130</f>
        <v>14711.724137931034</v>
      </c>
      <c r="J130" s="129"/>
      <c r="K130" s="129"/>
      <c r="L130" s="129"/>
      <c r="M130" s="130"/>
    </row>
    <row r="131" spans="1:17" ht="17.25" customHeight="1" x14ac:dyDescent="0.25">
      <c r="A131" s="542"/>
      <c r="B131" s="25" t="s">
        <v>26</v>
      </c>
      <c r="C131" s="105"/>
      <c r="D131" s="135">
        <f>+D130/G130</f>
        <v>0.93846099756234769</v>
      </c>
      <c r="E131" s="136">
        <f>+E130/G130</f>
        <v>4.1538533658353645E-2</v>
      </c>
      <c r="F131" s="135">
        <f>+F130/G130</f>
        <v>2.0000468779298706E-2</v>
      </c>
      <c r="G131" s="21">
        <v>100</v>
      </c>
      <c r="H131" s="129"/>
      <c r="I131" s="129"/>
      <c r="J131" s="132">
        <v>98.1</v>
      </c>
      <c r="K131" s="634">
        <f>100-J131</f>
        <v>1.9000000000000057</v>
      </c>
      <c r="L131" s="634"/>
      <c r="M131" s="58">
        <v>38</v>
      </c>
    </row>
    <row r="132" spans="1:17" ht="6" customHeight="1" x14ac:dyDescent="0.25">
      <c r="A132" s="7"/>
      <c r="B132" s="7"/>
      <c r="C132" s="7"/>
      <c r="D132" s="7"/>
      <c r="E132" s="7"/>
      <c r="F132" s="7"/>
      <c r="G132" s="7"/>
      <c r="J132" s="7"/>
      <c r="K132" s="7"/>
      <c r="L132" s="7"/>
      <c r="M132" s="7"/>
    </row>
    <row r="133" spans="1:17" ht="17.25" customHeight="1" x14ac:dyDescent="0.25">
      <c r="A133" s="1" t="s">
        <v>152</v>
      </c>
      <c r="B133" s="7"/>
      <c r="C133" s="7"/>
      <c r="D133" s="7"/>
      <c r="E133" s="7"/>
      <c r="F133" s="7"/>
      <c r="G133" s="7"/>
      <c r="J133" s="7"/>
      <c r="K133" s="7"/>
      <c r="L133" s="7"/>
      <c r="M133" s="7"/>
    </row>
    <row r="134" spans="1:17" ht="17.25" customHeight="1" x14ac:dyDescent="0.25">
      <c r="A134" s="137" t="s">
        <v>153</v>
      </c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Q134" t="e">
        <v>#REF!</v>
      </c>
    </row>
    <row r="135" spans="1:17" ht="17.25" customHeight="1" x14ac:dyDescent="0.25">
      <c r="A135" s="1" t="s">
        <v>154</v>
      </c>
      <c r="B135" s="7"/>
      <c r="C135" s="7"/>
      <c r="D135" s="7"/>
      <c r="E135" s="7"/>
      <c r="F135" s="7"/>
      <c r="G135" s="7"/>
      <c r="J135" s="7"/>
      <c r="K135" s="7"/>
      <c r="L135" s="7"/>
      <c r="M135" s="7"/>
    </row>
    <row r="136" spans="1:17" ht="17.25" customHeight="1" x14ac:dyDescent="0.25">
      <c r="A136" s="630" t="s">
        <v>155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</row>
    <row r="137" spans="1:17" ht="17.25" customHeight="1" x14ac:dyDescent="0.25">
      <c r="A137" s="631" t="s">
        <v>156</v>
      </c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</row>
    <row r="138" spans="1:17" ht="17.25" customHeight="1" x14ac:dyDescent="0.25">
      <c r="A138" s="139" t="s">
        <v>157</v>
      </c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</row>
    <row r="139" spans="1:17" ht="17.25" customHeight="1" x14ac:dyDescent="0.25">
      <c r="A139" s="139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</row>
    <row r="140" spans="1:17" ht="17.25" customHeight="1" x14ac:dyDescent="0.25">
      <c r="A140" s="141" t="s">
        <v>158</v>
      </c>
      <c r="B140" s="7"/>
      <c r="C140" s="7"/>
      <c r="D140" s="7"/>
      <c r="E140" s="7"/>
      <c r="F140" s="7"/>
      <c r="G140" s="7"/>
      <c r="J140" s="632" t="s">
        <v>159</v>
      </c>
      <c r="K140" s="632"/>
      <c r="L140" s="632"/>
      <c r="M140" s="632"/>
    </row>
    <row r="141" spans="1:17" ht="19.5" customHeight="1" x14ac:dyDescent="0.25">
      <c r="A141" s="7"/>
      <c r="B141" s="7"/>
      <c r="C141" s="7"/>
      <c r="D141" s="633" t="s">
        <v>160</v>
      </c>
      <c r="E141" s="633"/>
      <c r="F141" s="7"/>
      <c r="G141" s="7"/>
      <c r="J141" s="7"/>
      <c r="K141" s="1" t="s">
        <v>161</v>
      </c>
      <c r="L141" s="7"/>
      <c r="M141" s="7"/>
    </row>
    <row r="142" spans="1:17" x14ac:dyDescent="0.25">
      <c r="A142" s="141"/>
      <c r="B142" s="7"/>
      <c r="C142" s="7"/>
      <c r="D142" s="7"/>
      <c r="E142" s="7"/>
      <c r="F142" s="7"/>
      <c r="G142" s="7"/>
      <c r="J142" s="7"/>
      <c r="K142" s="7"/>
      <c r="L142" s="7"/>
      <c r="M142" s="7"/>
    </row>
    <row r="143" spans="1:17" x14ac:dyDescent="0.25">
      <c r="A143" s="143" t="s">
        <v>162</v>
      </c>
      <c r="B143" s="7"/>
      <c r="C143" s="7"/>
      <c r="D143" s="7"/>
      <c r="E143" s="7"/>
      <c r="F143" s="7"/>
      <c r="G143" s="7"/>
      <c r="J143" s="7"/>
      <c r="K143" s="7"/>
      <c r="L143" s="7"/>
      <c r="M143" s="7"/>
    </row>
    <row r="144" spans="1:17" x14ac:dyDescent="0.25">
      <c r="A144" s="2" t="s">
        <v>163</v>
      </c>
      <c r="B144" s="7"/>
      <c r="C144" s="7"/>
      <c r="D144" s="7"/>
      <c r="E144" s="7"/>
      <c r="F144" s="7"/>
      <c r="G144" s="7"/>
      <c r="J144" s="7"/>
      <c r="K144" s="7"/>
      <c r="L144" s="7"/>
      <c r="M144" s="7"/>
    </row>
    <row r="145" spans="1:13" x14ac:dyDescent="0.25">
      <c r="A145" s="2" t="s">
        <v>164</v>
      </c>
      <c r="B145" s="7"/>
      <c r="C145" s="7"/>
      <c r="D145" s="7"/>
      <c r="E145" s="7"/>
      <c r="F145" s="7"/>
      <c r="G145" s="7"/>
      <c r="J145" s="7"/>
      <c r="K145" s="7"/>
      <c r="L145" s="7"/>
      <c r="M145" s="7"/>
    </row>
    <row r="146" spans="1:13" x14ac:dyDescent="0.25">
      <c r="A146" s="144" t="s">
        <v>165</v>
      </c>
      <c r="B146" s="7"/>
      <c r="C146" s="7"/>
      <c r="D146" s="7"/>
      <c r="E146" s="7"/>
      <c r="F146" s="7"/>
      <c r="G146" s="7"/>
      <c r="J146" s="7"/>
      <c r="K146" s="632" t="s">
        <v>166</v>
      </c>
      <c r="L146" s="632"/>
      <c r="M146" s="7"/>
    </row>
    <row r="147" spans="1:13" x14ac:dyDescent="0.25">
      <c r="A147" s="2"/>
      <c r="B147" s="7"/>
      <c r="C147" s="7"/>
      <c r="D147" s="7"/>
      <c r="E147" s="7"/>
      <c r="F147" s="7"/>
      <c r="G147" s="7"/>
      <c r="J147" s="7"/>
      <c r="K147" s="632"/>
      <c r="L147" s="632"/>
      <c r="M147" s="7"/>
    </row>
    <row r="148" spans="1:13" x14ac:dyDescent="0.25">
      <c r="A148" s="144"/>
      <c r="B148" s="7"/>
      <c r="C148" s="7"/>
      <c r="D148" s="7"/>
      <c r="E148" s="7"/>
      <c r="F148" s="7"/>
      <c r="G148" s="7"/>
      <c r="J148" s="7"/>
      <c r="K148" s="7"/>
      <c r="L148" s="7"/>
      <c r="M148" s="7"/>
    </row>
    <row r="149" spans="1:13" x14ac:dyDescent="0.25">
      <c r="A149" s="2"/>
      <c r="B149" s="7"/>
      <c r="C149" s="7"/>
      <c r="D149" s="7"/>
      <c r="E149" s="7"/>
      <c r="F149" s="7"/>
      <c r="G149" s="7"/>
      <c r="J149" s="7"/>
      <c r="K149" s="7"/>
      <c r="L149" s="7"/>
      <c r="M149" s="7"/>
    </row>
    <row r="150" spans="1:13" x14ac:dyDescent="0.25">
      <c r="A150" s="145"/>
    </row>
    <row r="151" spans="1:13" x14ac:dyDescent="0.25">
      <c r="A151" s="145"/>
    </row>
    <row r="156" spans="1:13" ht="15.75" x14ac:dyDescent="0.25">
      <c r="A156" s="146"/>
    </row>
    <row r="157" spans="1:13" ht="15.75" x14ac:dyDescent="0.25">
      <c r="A157" s="146"/>
    </row>
    <row r="158" spans="1:13" ht="15.75" x14ac:dyDescent="0.25">
      <c r="A158" s="146"/>
    </row>
    <row r="159" spans="1:13" ht="15.75" x14ac:dyDescent="0.25">
      <c r="A159" s="146"/>
    </row>
    <row r="160" spans="1:13" ht="15.75" x14ac:dyDescent="0.25">
      <c r="A160" s="146"/>
    </row>
    <row r="161" spans="1:1" ht="15.75" x14ac:dyDescent="0.25">
      <c r="A161" s="147"/>
    </row>
  </sheetData>
  <mergeCells count="259">
    <mergeCell ref="A136:M136"/>
    <mergeCell ref="A137:M137"/>
    <mergeCell ref="J140:M140"/>
    <mergeCell ref="D141:E141"/>
    <mergeCell ref="K146:L146"/>
    <mergeCell ref="K147:L147"/>
    <mergeCell ref="A126:A127"/>
    <mergeCell ref="K127:L127"/>
    <mergeCell ref="A128:A129"/>
    <mergeCell ref="K129:L129"/>
    <mergeCell ref="A130:A131"/>
    <mergeCell ref="K131:L131"/>
    <mergeCell ref="A111:F111"/>
    <mergeCell ref="H111:M111"/>
    <mergeCell ref="A115:B115"/>
    <mergeCell ref="C115:C116"/>
    <mergeCell ref="D115:F115"/>
    <mergeCell ref="G115:G116"/>
    <mergeCell ref="H115:H116"/>
    <mergeCell ref="A124:B124"/>
    <mergeCell ref="C124:C125"/>
    <mergeCell ref="D124:F124"/>
    <mergeCell ref="G124:G125"/>
    <mergeCell ref="H124:H125"/>
    <mergeCell ref="J124:J125"/>
    <mergeCell ref="A117:A118"/>
    <mergeCell ref="K118:L118"/>
    <mergeCell ref="A119:A120"/>
    <mergeCell ref="K120:L120"/>
    <mergeCell ref="A121:A122"/>
    <mergeCell ref="K122:L122"/>
    <mergeCell ref="C103:D103"/>
    <mergeCell ref="H103:I103"/>
    <mergeCell ref="J103:M103"/>
    <mergeCell ref="A104:A110"/>
    <mergeCell ref="C104:D104"/>
    <mergeCell ref="H104:I104"/>
    <mergeCell ref="J104:M104"/>
    <mergeCell ref="C105:D105"/>
    <mergeCell ref="H105:I105"/>
    <mergeCell ref="J105:M105"/>
    <mergeCell ref="C106:D107"/>
    <mergeCell ref="H106:I107"/>
    <mergeCell ref="J106:M106"/>
    <mergeCell ref="J107:M107"/>
    <mergeCell ref="C108:D109"/>
    <mergeCell ref="H108:I108"/>
    <mergeCell ref="J108:M108"/>
    <mergeCell ref="H109:I109"/>
    <mergeCell ref="J109:M109"/>
    <mergeCell ref="C110:D110"/>
    <mergeCell ref="H110:I110"/>
    <mergeCell ref="J110:M110"/>
    <mergeCell ref="B100:C100"/>
    <mergeCell ref="H100:I100"/>
    <mergeCell ref="K100:M100"/>
    <mergeCell ref="A101:C101"/>
    <mergeCell ref="H101:I101"/>
    <mergeCell ref="K101:M101"/>
    <mergeCell ref="B98:C98"/>
    <mergeCell ref="H98:I98"/>
    <mergeCell ref="K98:M98"/>
    <mergeCell ref="B99:C99"/>
    <mergeCell ref="H99:I99"/>
    <mergeCell ref="K99:M99"/>
    <mergeCell ref="B96:C96"/>
    <mergeCell ref="H96:I96"/>
    <mergeCell ref="K96:M96"/>
    <mergeCell ref="B97:C97"/>
    <mergeCell ref="H97:I97"/>
    <mergeCell ref="K97:M97"/>
    <mergeCell ref="B94:C94"/>
    <mergeCell ref="H94:I94"/>
    <mergeCell ref="K94:M94"/>
    <mergeCell ref="B95:C95"/>
    <mergeCell ref="H95:I95"/>
    <mergeCell ref="K95:M95"/>
    <mergeCell ref="A72:E72"/>
    <mergeCell ref="A88:E88"/>
    <mergeCell ref="A89:E89"/>
    <mergeCell ref="A93:C93"/>
    <mergeCell ref="H93:I93"/>
    <mergeCell ref="K93:M93"/>
    <mergeCell ref="B68:C68"/>
    <mergeCell ref="G68:H68"/>
    <mergeCell ref="B69:C69"/>
    <mergeCell ref="G69:H69"/>
    <mergeCell ref="B70:C70"/>
    <mergeCell ref="G70:H70"/>
    <mergeCell ref="B66:C66"/>
    <mergeCell ref="G66:H66"/>
    <mergeCell ref="K66:L66"/>
    <mergeCell ref="B67:C67"/>
    <mergeCell ref="G67:H67"/>
    <mergeCell ref="K67:M67"/>
    <mergeCell ref="K63:M63"/>
    <mergeCell ref="B64:C64"/>
    <mergeCell ref="G64:H64"/>
    <mergeCell ref="B65:C65"/>
    <mergeCell ref="G65:H65"/>
    <mergeCell ref="K65:L65"/>
    <mergeCell ref="B61:C61"/>
    <mergeCell ref="G61:H61"/>
    <mergeCell ref="B62:C62"/>
    <mergeCell ref="G62:H62"/>
    <mergeCell ref="B63:C63"/>
    <mergeCell ref="G63:H63"/>
    <mergeCell ref="B58:C58"/>
    <mergeCell ref="G58:H58"/>
    <mergeCell ref="B59:C59"/>
    <mergeCell ref="G59:H59"/>
    <mergeCell ref="B60:C60"/>
    <mergeCell ref="G60:H60"/>
    <mergeCell ref="B55:C55"/>
    <mergeCell ref="G55:H55"/>
    <mergeCell ref="K55:M55"/>
    <mergeCell ref="B56:C56"/>
    <mergeCell ref="G56:H56"/>
    <mergeCell ref="B57:C57"/>
    <mergeCell ref="G57:H57"/>
    <mergeCell ref="K57:M57"/>
    <mergeCell ref="B51:C51"/>
    <mergeCell ref="G51:H51"/>
    <mergeCell ref="B53:C53"/>
    <mergeCell ref="G53:H53"/>
    <mergeCell ref="K53:M53"/>
    <mergeCell ref="B54:C54"/>
    <mergeCell ref="G54:H54"/>
    <mergeCell ref="K54:M54"/>
    <mergeCell ref="B49:C49"/>
    <mergeCell ref="G49:H49"/>
    <mergeCell ref="K49:L49"/>
    <mergeCell ref="B50:C50"/>
    <mergeCell ref="G50:H50"/>
    <mergeCell ref="K50:M50"/>
    <mergeCell ref="B46:C46"/>
    <mergeCell ref="G46:H46"/>
    <mergeCell ref="K46:M46"/>
    <mergeCell ref="B47:C47"/>
    <mergeCell ref="G47:H47"/>
    <mergeCell ref="B48:C48"/>
    <mergeCell ref="G48:H48"/>
    <mergeCell ref="K43:M43"/>
    <mergeCell ref="O43:P43"/>
    <mergeCell ref="B44:C44"/>
    <mergeCell ref="G44:H44"/>
    <mergeCell ref="K44:M44"/>
    <mergeCell ref="B45:C45"/>
    <mergeCell ref="G45:H45"/>
    <mergeCell ref="B41:C41"/>
    <mergeCell ref="G41:H41"/>
    <mergeCell ref="B42:C42"/>
    <mergeCell ref="G42:H42"/>
    <mergeCell ref="B43:C43"/>
    <mergeCell ref="G43:H43"/>
    <mergeCell ref="B39:C39"/>
    <mergeCell ref="G39:H39"/>
    <mergeCell ref="K39:M39"/>
    <mergeCell ref="B40:C40"/>
    <mergeCell ref="G40:H40"/>
    <mergeCell ref="K40:M40"/>
    <mergeCell ref="J33:K33"/>
    <mergeCell ref="L22:M35"/>
    <mergeCell ref="B23:C23"/>
    <mergeCell ref="D23:E23"/>
    <mergeCell ref="F23:G23"/>
    <mergeCell ref="H23:I23"/>
    <mergeCell ref="J23:K23"/>
    <mergeCell ref="A34:A35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A32:A33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A30:A31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A28:A29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A26:A27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A24:A25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A22:A23"/>
    <mergeCell ref="B22:C22"/>
    <mergeCell ref="D22:E22"/>
    <mergeCell ref="F22:G22"/>
    <mergeCell ref="H22:I22"/>
    <mergeCell ref="J22:K22"/>
    <mergeCell ref="A20:A21"/>
    <mergeCell ref="B20:I20"/>
    <mergeCell ref="J20:K21"/>
    <mergeCell ref="A4:M4"/>
    <mergeCell ref="A9:B9"/>
    <mergeCell ref="D9:F9"/>
    <mergeCell ref="G9:G10"/>
    <mergeCell ref="H9:H10"/>
    <mergeCell ref="J9:J10"/>
    <mergeCell ref="L20:M21"/>
    <mergeCell ref="B21:C21"/>
    <mergeCell ref="D21:E21"/>
    <mergeCell ref="F21:G21"/>
    <mergeCell ref="H21:I21"/>
    <mergeCell ref="A11:A12"/>
    <mergeCell ref="K11:L11"/>
    <mergeCell ref="K12:L12"/>
    <mergeCell ref="A13:A14"/>
    <mergeCell ref="K14:L14"/>
    <mergeCell ref="A15:A16"/>
  </mergeCells>
  <pageMargins left="0.19685039370078741" right="0.19685039370078741" top="0.19685039370078741" bottom="0.19685039370078741" header="0.27559055118110237" footer="0.19685039370078741"/>
  <pageSetup paperSize="9" orientation="landscape" r:id="rId1"/>
  <rowBreaks count="1" manualBreakCount="1">
    <brk id="111" max="12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91"/>
  <sheetViews>
    <sheetView topLeftCell="A147" zoomScaleNormal="100" workbookViewId="0">
      <selection activeCell="H139" sqref="H139:I139"/>
    </sheetView>
  </sheetViews>
  <sheetFormatPr defaultRowHeight="15" x14ac:dyDescent="0.25"/>
  <cols>
    <col min="1" max="1" width="13.85546875" customWidth="1"/>
    <col min="2" max="2" width="7" customWidth="1"/>
    <col min="3" max="3" width="12" customWidth="1"/>
    <col min="4" max="4" width="12.42578125" customWidth="1"/>
    <col min="5" max="5" width="13.42578125" customWidth="1"/>
    <col min="6" max="6" width="12" customWidth="1"/>
    <col min="7" max="7" width="12.42578125" customWidth="1"/>
    <col min="8" max="8" width="10.7109375" style="5" customWidth="1"/>
    <col min="9" max="9" width="10.570312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167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9.5" customHeight="1" x14ac:dyDescent="0.25">
      <c r="A6" s="1" t="s">
        <v>168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2.5" customHeight="1" x14ac:dyDescent="0.25">
      <c r="A9" s="524" t="s">
        <v>6</v>
      </c>
      <c r="B9" s="524"/>
      <c r="C9" s="9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9" t="s">
        <v>13</v>
      </c>
      <c r="L9" s="9" t="s">
        <v>14</v>
      </c>
      <c r="M9" s="9" t="s">
        <v>15</v>
      </c>
      <c r="N9" s="148" t="s">
        <v>150</v>
      </c>
    </row>
    <row r="10" spans="1:16" ht="18.75" customHeight="1" x14ac:dyDescent="0.25">
      <c r="A10" s="9" t="s">
        <v>16</v>
      </c>
      <c r="B10" s="9" t="s">
        <v>17</v>
      </c>
      <c r="C10" s="11"/>
      <c r="D10" s="9" t="s">
        <v>18</v>
      </c>
      <c r="E10" s="9" t="s">
        <v>19</v>
      </c>
      <c r="F10" s="9" t="s">
        <v>20</v>
      </c>
      <c r="G10" s="526"/>
      <c r="H10" s="527"/>
      <c r="I10" s="10" t="s">
        <v>21</v>
      </c>
      <c r="J10" s="526"/>
      <c r="K10" s="9" t="s">
        <v>22</v>
      </c>
      <c r="L10" s="9" t="s">
        <v>23</v>
      </c>
      <c r="M10" s="9" t="s">
        <v>24</v>
      </c>
    </row>
    <row r="11" spans="1:16" s="18" customFormat="1" ht="18" customHeight="1" x14ac:dyDescent="0.25">
      <c r="A11" s="530" t="s">
        <v>25</v>
      </c>
      <c r="B11" s="12" t="s">
        <v>21</v>
      </c>
      <c r="C11" s="116">
        <f>+G11*100/J12</f>
        <v>196980</v>
      </c>
      <c r="D11" s="117">
        <f>+$G$11*D12/100</f>
        <v>181457.97599999997</v>
      </c>
      <c r="E11" s="117">
        <f>+$G$11*E12/100</f>
        <v>5791.2119999999995</v>
      </c>
      <c r="F11" s="117">
        <f>+$G$11*F12/100</f>
        <v>5791.2119999999995</v>
      </c>
      <c r="G11" s="149">
        <f>+I11*H11</f>
        <v>193040.4</v>
      </c>
      <c r="H11" s="17">
        <v>14</v>
      </c>
      <c r="I11" s="17">
        <f>21*0.5*1340*0.98</f>
        <v>13788.6</v>
      </c>
      <c r="J11" s="12"/>
      <c r="K11" s="134"/>
      <c r="L11" s="150"/>
      <c r="M11" s="12"/>
      <c r="O11" s="19"/>
    </row>
    <row r="12" spans="1:16" s="18" customFormat="1" ht="18" customHeight="1" x14ac:dyDescent="0.25">
      <c r="A12" s="530"/>
      <c r="B12" s="12" t="s">
        <v>26</v>
      </c>
      <c r="C12" s="20"/>
      <c r="D12" s="21">
        <v>94</v>
      </c>
      <c r="E12" s="21">
        <v>3</v>
      </c>
      <c r="F12" s="21">
        <v>3</v>
      </c>
      <c r="G12" s="15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6" s="18" customFormat="1" ht="18" customHeight="1" x14ac:dyDescent="0.25">
      <c r="A13" s="530" t="s">
        <v>27</v>
      </c>
      <c r="B13" s="12" t="s">
        <v>21</v>
      </c>
      <c r="C13" s="151">
        <v>209653</v>
      </c>
      <c r="D13" s="15">
        <v>207028.5</v>
      </c>
      <c r="E13" s="14">
        <v>0</v>
      </c>
      <c r="F13" s="152">
        <v>1215</v>
      </c>
      <c r="G13" s="15">
        <f>SUM(D13:F13)</f>
        <v>208243.5</v>
      </c>
      <c r="H13" s="153">
        <v>14</v>
      </c>
      <c r="I13" s="26">
        <f>+G13/H13</f>
        <v>14874.535714285714</v>
      </c>
      <c r="J13" s="12"/>
      <c r="K13" s="152">
        <v>729</v>
      </c>
      <c r="L13" s="152">
        <v>603</v>
      </c>
      <c r="M13" s="12"/>
      <c r="N13" s="28"/>
      <c r="O13" s="19"/>
      <c r="P13" s="19">
        <f>+P12/10.9</f>
        <v>407273.39449541282</v>
      </c>
    </row>
    <row r="14" spans="1:16" s="18" customFormat="1" ht="18" customHeight="1" x14ac:dyDescent="0.25">
      <c r="A14" s="530"/>
      <c r="B14" s="12" t="s">
        <v>26</v>
      </c>
      <c r="C14" s="20"/>
      <c r="D14" s="21">
        <f>+D13/G13*100</f>
        <v>99.416548415676843</v>
      </c>
      <c r="E14" s="29">
        <f>+E13/G13*100</f>
        <v>0</v>
      </c>
      <c r="F14" s="29">
        <f>+F13/G13*100</f>
        <v>0.58345158432316013</v>
      </c>
      <c r="G14" s="15">
        <f t="shared" ref="G14" si="0">SUM(D14:F14)</f>
        <v>100</v>
      </c>
      <c r="H14" s="153"/>
      <c r="I14" s="23"/>
      <c r="J14" s="30">
        <f>+G13/C13*100</f>
        <v>99.327698625824581</v>
      </c>
      <c r="K14" s="534">
        <f>100-J14</f>
        <v>0.67230137417541869</v>
      </c>
      <c r="L14" s="534"/>
      <c r="M14" s="31">
        <v>75</v>
      </c>
      <c r="O14" s="28"/>
      <c r="P14" s="18">
        <f>+P13*2390</f>
        <v>973383412.8440367</v>
      </c>
    </row>
    <row r="15" spans="1:16" s="18" customFormat="1" ht="20.25" customHeight="1" x14ac:dyDescent="0.25">
      <c r="A15" s="530" t="s">
        <v>28</v>
      </c>
      <c r="B15" s="12" t="s">
        <v>21</v>
      </c>
      <c r="C15" s="15">
        <f>+C13-C11</f>
        <v>12673</v>
      </c>
      <c r="D15" s="13">
        <f>+D13-D11</f>
        <v>25570.524000000034</v>
      </c>
      <c r="E15" s="32">
        <f>+(E13-E11)</f>
        <v>-5791.2119999999995</v>
      </c>
      <c r="F15" s="14">
        <f>+F13-F11</f>
        <v>-4576.2119999999995</v>
      </c>
      <c r="G15" s="15">
        <f>SUM(D15:F15)</f>
        <v>15203.100000000035</v>
      </c>
      <c r="H15" s="153"/>
      <c r="I15" s="23"/>
      <c r="J15" s="13"/>
      <c r="K15" s="33"/>
      <c r="L15" s="33"/>
      <c r="M15" s="12"/>
      <c r="N15" s="34"/>
      <c r="P15" s="18">
        <f>+P14/418800</f>
        <v>2324.2201834862385</v>
      </c>
    </row>
    <row r="16" spans="1:16" s="18" customFormat="1" ht="18.75" customHeight="1" x14ac:dyDescent="0.25">
      <c r="A16" s="530"/>
      <c r="B16" s="12" t="s">
        <v>26</v>
      </c>
      <c r="C16" s="20"/>
      <c r="D16" s="35">
        <f>+D14-D12</f>
        <v>5.4165484156768429</v>
      </c>
      <c r="E16" s="36">
        <f>+E14-E12</f>
        <v>-3</v>
      </c>
      <c r="F16" s="37">
        <f>+F14-F12</f>
        <v>-2.4165484156768398</v>
      </c>
      <c r="G16" s="23">
        <v>0</v>
      </c>
      <c r="H16" s="153"/>
      <c r="I16" s="23"/>
      <c r="J16" s="12"/>
      <c r="K16" s="33"/>
      <c r="L16" s="33"/>
      <c r="M16" s="12"/>
      <c r="N16" s="34">
        <f>97.5+1.29</f>
        <v>98.79</v>
      </c>
    </row>
    <row r="17" spans="1:16" s="18" customFormat="1" ht="18" customHeight="1" x14ac:dyDescent="0.25">
      <c r="A17" s="530" t="s">
        <v>169</v>
      </c>
      <c r="B17" s="12" t="s">
        <v>21</v>
      </c>
      <c r="C17" s="15">
        <f>+G17*100/J18</f>
        <v>219744</v>
      </c>
      <c r="D17" s="152">
        <f t="shared" ref="D17:E17" si="1">+$G$17*D18/100</f>
        <v>191660.71679999999</v>
      </c>
      <c r="E17" s="152">
        <f t="shared" si="1"/>
        <v>17227.929599999999</v>
      </c>
      <c r="F17" s="152">
        <f>+$G$17*F18/100</f>
        <v>6460.4736000000003</v>
      </c>
      <c r="G17" s="15">
        <f>+I17*H17</f>
        <v>215349.12</v>
      </c>
      <c r="H17" s="17">
        <v>15</v>
      </c>
      <c r="I17" s="17">
        <f>10.9*0.96*1400*0.98</f>
        <v>14356.608</v>
      </c>
      <c r="J17" s="12"/>
      <c r="K17" s="134"/>
      <c r="L17" s="134"/>
      <c r="M17" s="12"/>
      <c r="O17" s="19"/>
    </row>
    <row r="18" spans="1:16" s="18" customFormat="1" ht="18" customHeight="1" x14ac:dyDescent="0.25">
      <c r="A18" s="530"/>
      <c r="B18" s="12" t="s">
        <v>26</v>
      </c>
      <c r="C18" s="154"/>
      <c r="D18" s="125">
        <v>89</v>
      </c>
      <c r="E18" s="125">
        <v>8</v>
      </c>
      <c r="F18" s="125">
        <v>3</v>
      </c>
      <c r="G18" s="15">
        <v>100</v>
      </c>
      <c r="H18" s="153"/>
      <c r="I18" s="23"/>
      <c r="J18" s="13">
        <v>98</v>
      </c>
      <c r="K18" s="533">
        <v>2</v>
      </c>
      <c r="L18" s="533"/>
      <c r="M18" s="25">
        <v>40</v>
      </c>
      <c r="O18" s="19"/>
      <c r="P18" s="19"/>
    </row>
    <row r="19" spans="1:16" s="18" customFormat="1" ht="18" customHeight="1" x14ac:dyDescent="0.25">
      <c r="A19" s="530" t="s">
        <v>170</v>
      </c>
      <c r="B19" s="12" t="s">
        <v>21</v>
      </c>
      <c r="C19" s="151">
        <v>231114</v>
      </c>
      <c r="D19" s="15">
        <v>206841.60000000001</v>
      </c>
      <c r="E19" s="152">
        <v>0</v>
      </c>
      <c r="F19" s="152">
        <v>17892.800000000003</v>
      </c>
      <c r="G19" s="15">
        <f>+F19+D19</f>
        <v>224734.40000000002</v>
      </c>
      <c r="H19" s="151">
        <v>15.5</v>
      </c>
      <c r="I19" s="26">
        <f>G19/H19</f>
        <v>14498.993548387098</v>
      </c>
      <c r="J19" s="155"/>
      <c r="K19" s="152">
        <v>1277</v>
      </c>
      <c r="L19" s="156">
        <v>2254</v>
      </c>
      <c r="M19" s="12"/>
      <c r="N19" s="28"/>
      <c r="O19" s="19"/>
      <c r="P19" s="19"/>
    </row>
    <row r="20" spans="1:16" s="18" customFormat="1" ht="18" customHeight="1" x14ac:dyDescent="0.25">
      <c r="A20" s="530"/>
      <c r="B20" s="12" t="s">
        <v>26</v>
      </c>
      <c r="C20" s="20"/>
      <c r="D20" s="21">
        <f>+D19/G19*100</f>
        <v>92.038246036209841</v>
      </c>
      <c r="E20" s="29">
        <f>+E19/G19*100</f>
        <v>0</v>
      </c>
      <c r="F20" s="29">
        <f>+F19/G19*100</f>
        <v>7.9617539637901453</v>
      </c>
      <c r="G20" s="15">
        <f t="shared" ref="G20" si="2">SUM(D20:F20)</f>
        <v>99.999999999999986</v>
      </c>
      <c r="H20" s="22"/>
      <c r="I20" s="23"/>
      <c r="J20" s="30">
        <f>+G19/C19*100</f>
        <v>97.239630658462929</v>
      </c>
      <c r="K20" s="534">
        <v>1</v>
      </c>
      <c r="L20" s="534"/>
      <c r="M20" s="31">
        <v>42</v>
      </c>
      <c r="O20" s="28"/>
    </row>
    <row r="21" spans="1:16" s="18" customFormat="1" ht="20.25" customHeight="1" x14ac:dyDescent="0.25">
      <c r="A21" s="530" t="s">
        <v>171</v>
      </c>
      <c r="B21" s="12" t="s">
        <v>21</v>
      </c>
      <c r="C21" s="15">
        <f>+C19-C17</f>
        <v>11370</v>
      </c>
      <c r="D21" s="13">
        <f>+D19-D17</f>
        <v>15180.883200000011</v>
      </c>
      <c r="E21" s="32">
        <f>+(E19-E17)</f>
        <v>-17227.929599999999</v>
      </c>
      <c r="F21" s="14">
        <f>+F19-F17</f>
        <v>11432.326400000002</v>
      </c>
      <c r="G21" s="15">
        <f>SUM(D21:F21)</f>
        <v>9385.2800000000134</v>
      </c>
      <c r="H21" s="22"/>
      <c r="I21" s="23"/>
      <c r="J21" s="13"/>
      <c r="K21" s="33"/>
      <c r="L21" s="33"/>
      <c r="M21" s="12"/>
      <c r="N21" s="34"/>
    </row>
    <row r="22" spans="1:16" s="18" customFormat="1" ht="18.75" customHeight="1" x14ac:dyDescent="0.25">
      <c r="A22" s="530"/>
      <c r="B22" s="12" t="s">
        <v>26</v>
      </c>
      <c r="C22" s="20"/>
      <c r="D22" s="35">
        <f>+D20-D18</f>
        <v>3.0382460362098413</v>
      </c>
      <c r="E22" s="36">
        <f>+E20-E18</f>
        <v>-8</v>
      </c>
      <c r="F22" s="37">
        <f>+F20-F18</f>
        <v>4.9617539637901453</v>
      </c>
      <c r="G22" s="23">
        <v>0</v>
      </c>
      <c r="H22" s="22"/>
      <c r="I22" s="23"/>
      <c r="J22" s="12"/>
      <c r="K22" s="33"/>
      <c r="L22" s="33"/>
      <c r="M22" s="12"/>
      <c r="N22" s="34">
        <f>97.5+1.29</f>
        <v>98.79</v>
      </c>
    </row>
    <row r="23" spans="1:16" ht="16.5" customHeight="1" x14ac:dyDescent="0.25">
      <c r="A23" s="1" t="s">
        <v>172</v>
      </c>
      <c r="B23" s="7"/>
      <c r="C23" s="7"/>
      <c r="D23" s="7"/>
      <c r="E23" s="7"/>
      <c r="F23" s="7"/>
      <c r="G23" s="7"/>
      <c r="J23" s="7"/>
      <c r="K23" s="7"/>
      <c r="L23" s="7"/>
      <c r="M23" s="7"/>
    </row>
    <row r="24" spans="1:16" ht="16.5" customHeight="1" x14ac:dyDescent="0.25">
      <c r="A24" s="1" t="s">
        <v>30</v>
      </c>
      <c r="B24" s="7"/>
      <c r="C24" s="7"/>
      <c r="D24" s="7"/>
      <c r="E24" s="7"/>
      <c r="F24" s="7"/>
      <c r="G24" s="7"/>
      <c r="J24" s="7"/>
      <c r="K24" s="7"/>
      <c r="L24" s="7"/>
      <c r="M24" s="7"/>
    </row>
    <row r="25" spans="1:16" ht="25.5" customHeight="1" x14ac:dyDescent="0.25">
      <c r="A25" s="2" t="s">
        <v>31</v>
      </c>
      <c r="B25" s="7"/>
      <c r="C25" s="7"/>
      <c r="D25" s="7"/>
      <c r="E25" s="7"/>
      <c r="F25" s="7"/>
      <c r="G25" s="7"/>
      <c r="J25" s="7"/>
      <c r="K25" s="7"/>
      <c r="L25" s="7"/>
      <c r="M25" s="7"/>
    </row>
    <row r="26" spans="1:16" s="38" customFormat="1" ht="17.25" customHeight="1" x14ac:dyDescent="0.25">
      <c r="A26" s="524" t="s">
        <v>32</v>
      </c>
      <c r="B26" s="542" t="s">
        <v>33</v>
      </c>
      <c r="C26" s="542"/>
      <c r="D26" s="542"/>
      <c r="E26" s="542"/>
      <c r="F26" s="542"/>
      <c r="G26" s="542"/>
      <c r="H26" s="542"/>
      <c r="I26" s="542"/>
      <c r="J26" s="543" t="s">
        <v>34</v>
      </c>
      <c r="K26" s="544"/>
      <c r="L26" s="524" t="s">
        <v>35</v>
      </c>
      <c r="M26" s="524"/>
      <c r="N26" s="38" t="s">
        <v>150</v>
      </c>
    </row>
    <row r="27" spans="1:16" s="38" customFormat="1" ht="17.25" customHeight="1" x14ac:dyDescent="0.25">
      <c r="A27" s="524"/>
      <c r="B27" s="528" t="s">
        <v>18</v>
      </c>
      <c r="C27" s="529"/>
      <c r="D27" s="528" t="s">
        <v>19</v>
      </c>
      <c r="E27" s="529"/>
      <c r="F27" s="528" t="s">
        <v>20</v>
      </c>
      <c r="G27" s="529"/>
      <c r="H27" s="528" t="s">
        <v>36</v>
      </c>
      <c r="I27" s="529"/>
      <c r="J27" s="545"/>
      <c r="K27" s="546"/>
      <c r="L27" s="524"/>
      <c r="M27" s="524"/>
    </row>
    <row r="28" spans="1:16" s="38" customFormat="1" ht="17.25" customHeight="1" x14ac:dyDescent="0.25">
      <c r="A28" s="535" t="s">
        <v>37</v>
      </c>
      <c r="B28" s="536">
        <f>+[3]T4!$D$24</f>
        <v>78493.5</v>
      </c>
      <c r="C28" s="537"/>
      <c r="D28" s="536">
        <v>0</v>
      </c>
      <c r="E28" s="537"/>
      <c r="F28" s="536">
        <f>+[3]T4!$D$26</f>
        <v>409.5</v>
      </c>
      <c r="G28" s="537"/>
      <c r="H28" s="538">
        <f>+B28+D28+F28</f>
        <v>78903</v>
      </c>
      <c r="I28" s="539"/>
      <c r="J28" s="540"/>
      <c r="K28" s="541"/>
      <c r="L28" s="564"/>
      <c r="M28" s="565"/>
    </row>
    <row r="29" spans="1:16" s="38" customFormat="1" ht="17.25" customHeight="1" x14ac:dyDescent="0.25">
      <c r="A29" s="535"/>
      <c r="B29" s="550">
        <f>+B28/$H$28*100</f>
        <v>99.4810083266796</v>
      </c>
      <c r="C29" s="551" t="e">
        <f>+C28/C44*100</f>
        <v>#REF!</v>
      </c>
      <c r="D29" s="550">
        <f t="shared" ref="D29" si="3">+D28/$H$28*100</f>
        <v>0</v>
      </c>
      <c r="E29" s="551" t="e">
        <f>+E28/E44*100</f>
        <v>#REF!</v>
      </c>
      <c r="F29" s="550">
        <f t="shared" ref="F29" si="4">+F28/$H$28*100</f>
        <v>0.51899167332040608</v>
      </c>
      <c r="G29" s="551" t="e">
        <f>+G28/G44*100</f>
        <v>#REF!</v>
      </c>
      <c r="H29" s="550">
        <f t="shared" ref="H29" si="5">+H28/$H$28*100</f>
        <v>100</v>
      </c>
      <c r="I29" s="551" t="e">
        <f>+I28/I44*100</f>
        <v>#REF!</v>
      </c>
      <c r="J29" s="549">
        <f>+H28/$H$44*100</f>
        <v>37.889778072304779</v>
      </c>
      <c r="K29" s="541"/>
      <c r="L29" s="566"/>
      <c r="M29" s="567"/>
    </row>
    <row r="30" spans="1:16" s="38" customFormat="1" ht="17.25" customHeight="1" x14ac:dyDescent="0.25">
      <c r="A30" s="535" t="s">
        <v>38</v>
      </c>
      <c r="B30" s="536">
        <f>+[3]T4!$F$24</f>
        <v>9565.5</v>
      </c>
      <c r="C30" s="537"/>
      <c r="D30" s="536">
        <v>0</v>
      </c>
      <c r="E30" s="537"/>
      <c r="F30" s="536">
        <f>+[3]T4!$F$26</f>
        <v>91.5</v>
      </c>
      <c r="G30" s="537"/>
      <c r="H30" s="547">
        <f>+B30+D30+F30</f>
        <v>9657</v>
      </c>
      <c r="I30" s="548"/>
      <c r="J30" s="549"/>
      <c r="K30" s="541"/>
      <c r="L30" s="566"/>
      <c r="M30" s="567"/>
    </row>
    <row r="31" spans="1:16" s="38" customFormat="1" ht="17.25" customHeight="1" x14ac:dyDescent="0.25">
      <c r="A31" s="535"/>
      <c r="B31" s="550">
        <f>+B30/$H$30*100</f>
        <v>99.052500776638709</v>
      </c>
      <c r="C31" s="551" t="e">
        <f>+C30/C38*100</f>
        <v>#DIV/0!</v>
      </c>
      <c r="D31" s="550">
        <f t="shared" ref="D31" si="6">+D30/$H$30*100</f>
        <v>0</v>
      </c>
      <c r="E31" s="551" t="e">
        <f t="shared" ref="E31" si="7">+E30/E38*100</f>
        <v>#DIV/0!</v>
      </c>
      <c r="F31" s="550">
        <f t="shared" ref="F31" si="8">+F30/$H$30*100</f>
        <v>0.94749922336129244</v>
      </c>
      <c r="G31" s="551" t="e">
        <f t="shared" ref="G31" si="9">+G30/G38*100</f>
        <v>#DIV/0!</v>
      </c>
      <c r="H31" s="550">
        <f t="shared" ref="H31" si="10">+H30/$H$30*100</f>
        <v>100</v>
      </c>
      <c r="I31" s="551" t="e">
        <f t="shared" ref="I31" si="11">+I30/I38*100</f>
        <v>#DIV/0!</v>
      </c>
      <c r="J31" s="549">
        <f>+H30/$H$44*100</f>
        <v>4.6373596294722281</v>
      </c>
      <c r="K31" s="541"/>
      <c r="L31" s="566"/>
      <c r="M31" s="567"/>
    </row>
    <row r="32" spans="1:16" s="38" customFormat="1" ht="17.25" customHeight="1" x14ac:dyDescent="0.25">
      <c r="A32" s="552" t="s">
        <v>41</v>
      </c>
      <c r="B32" s="556">
        <f>+[3]T4!$H$24</f>
        <v>23089.5</v>
      </c>
      <c r="C32" s="529"/>
      <c r="D32" s="536">
        <v>0</v>
      </c>
      <c r="E32" s="537"/>
      <c r="F32" s="536">
        <f>+[3]T4!$H$26</f>
        <v>67.5</v>
      </c>
      <c r="G32" s="537"/>
      <c r="H32" s="547">
        <f>+B32+D32+F32</f>
        <v>23157</v>
      </c>
      <c r="I32" s="548"/>
      <c r="J32" s="549"/>
      <c r="K32" s="541"/>
      <c r="L32" s="566"/>
      <c r="M32" s="567"/>
    </row>
    <row r="33" spans="1:14" s="38" customFormat="1" ht="21" customHeight="1" x14ac:dyDescent="0.25">
      <c r="A33" s="553"/>
      <c r="B33" s="550">
        <f t="shared" ref="B33" si="12">+B32/$H$30*100</f>
        <v>239.0959925442684</v>
      </c>
      <c r="C33" s="551" t="e">
        <f>+C32/#REF!*100</f>
        <v>#REF!</v>
      </c>
      <c r="D33" s="550">
        <f t="shared" ref="D33" si="13">+D32/$H$32*100</f>
        <v>0</v>
      </c>
      <c r="E33" s="551"/>
      <c r="F33" s="550">
        <f t="shared" ref="F33" si="14">+F32/$H$32*100</f>
        <v>0.29148853478429848</v>
      </c>
      <c r="G33" s="551"/>
      <c r="H33" s="550">
        <f t="shared" ref="H33" si="15">+H32/$H$32*100</f>
        <v>100</v>
      </c>
      <c r="I33" s="551"/>
      <c r="J33" s="549">
        <f>+H32/$H$44*100</f>
        <v>11.120155010840675</v>
      </c>
      <c r="K33" s="541"/>
      <c r="L33" s="566"/>
      <c r="M33" s="567"/>
    </row>
    <row r="34" spans="1:14" s="38" customFormat="1" ht="21.75" customHeight="1" x14ac:dyDescent="0.25">
      <c r="A34" s="552" t="s">
        <v>40</v>
      </c>
      <c r="B34" s="536">
        <f>+[3]T4!$J$24</f>
        <v>25012.5</v>
      </c>
      <c r="C34" s="537"/>
      <c r="D34" s="536">
        <v>0</v>
      </c>
      <c r="E34" s="537"/>
      <c r="F34" s="536">
        <f>+[3]T4!$J$26</f>
        <v>331.5</v>
      </c>
      <c r="G34" s="537"/>
      <c r="H34" s="547">
        <f>+B34+D34+F34</f>
        <v>25344</v>
      </c>
      <c r="I34" s="548"/>
      <c r="J34" s="549"/>
      <c r="K34" s="541"/>
      <c r="L34" s="566"/>
      <c r="M34" s="567"/>
    </row>
    <row r="35" spans="1:14" s="38" customFormat="1" ht="17.25" customHeight="1" x14ac:dyDescent="0.25">
      <c r="A35" s="553"/>
      <c r="B35" s="554">
        <f>+B34/$H$34*100</f>
        <v>98.691998106060609</v>
      </c>
      <c r="C35" s="555" t="e">
        <f>+C34/C36*100</f>
        <v>#DIV/0!</v>
      </c>
      <c r="D35" s="554">
        <f t="shared" ref="D35" si="16">+D34/$H$34*100</f>
        <v>0</v>
      </c>
      <c r="E35" s="555" t="e">
        <f t="shared" ref="E35" si="17">+E34/E36*100</f>
        <v>#DIV/0!</v>
      </c>
      <c r="F35" s="554">
        <f t="shared" ref="F35" si="18">+F34/$H$34*100</f>
        <v>1.308001893939394</v>
      </c>
      <c r="G35" s="555" t="e">
        <f t="shared" ref="G35" si="19">+G34/G36*100</f>
        <v>#DIV/0!</v>
      </c>
      <c r="H35" s="554">
        <f t="shared" ref="H35" si="20">+H34/$H$34*100</f>
        <v>100</v>
      </c>
      <c r="I35" s="555" t="e">
        <f t="shared" ref="I35" si="21">+I34/I36*100</f>
        <v>#DIV/0!</v>
      </c>
      <c r="J35" s="549">
        <f>+H34/$H$44*100</f>
        <v>12.170367862622362</v>
      </c>
      <c r="K35" s="541"/>
      <c r="L35" s="566"/>
      <c r="M35" s="567"/>
    </row>
    <row r="36" spans="1:14" s="38" customFormat="1" ht="17.25" customHeight="1" x14ac:dyDescent="0.25">
      <c r="A36" s="535" t="s">
        <v>42</v>
      </c>
      <c r="B36" s="536">
        <f>+[3]T4!$L$24</f>
        <v>26017.5</v>
      </c>
      <c r="C36" s="537"/>
      <c r="D36" s="536">
        <v>0</v>
      </c>
      <c r="E36" s="537"/>
      <c r="F36" s="536">
        <f>+[3]T4!$L$26</f>
        <v>147</v>
      </c>
      <c r="G36" s="537"/>
      <c r="H36" s="547">
        <f>+B36+D36+F36</f>
        <v>26164.5</v>
      </c>
      <c r="I36" s="548"/>
      <c r="J36" s="549"/>
      <c r="K36" s="541"/>
      <c r="L36" s="566"/>
      <c r="M36" s="567"/>
    </row>
    <row r="37" spans="1:14" s="38" customFormat="1" ht="17.25" customHeight="1" x14ac:dyDescent="0.25">
      <c r="A37" s="535"/>
      <c r="B37" s="554">
        <f>+B36/$H$36*100</f>
        <v>99.43817003955742</v>
      </c>
      <c r="C37" s="555" t="e">
        <f>+C36/C38*100</f>
        <v>#DIV/0!</v>
      </c>
      <c r="D37" s="554">
        <f t="shared" ref="D37" si="22">+D36/$H$36*100</f>
        <v>0</v>
      </c>
      <c r="E37" s="555" t="e">
        <f t="shared" ref="E37" si="23">+E36/E38*100</f>
        <v>#DIV/0!</v>
      </c>
      <c r="F37" s="554">
        <f t="shared" ref="F37" si="24">+F36/$H$36*100</f>
        <v>0.56182996044258438</v>
      </c>
      <c r="G37" s="555" t="e">
        <f t="shared" ref="G37" si="25">+G36/G38*100</f>
        <v>#DIV/0!</v>
      </c>
      <c r="H37" s="554">
        <f t="shared" ref="H37" si="26">+H36/$H$36*100</f>
        <v>100</v>
      </c>
      <c r="I37" s="555" t="e">
        <f t="shared" ref="I37" si="27">+I36/I38*100</f>
        <v>#DIV/0!</v>
      </c>
      <c r="J37" s="549">
        <f>+H36/$H$44*100</f>
        <v>12.564377759689979</v>
      </c>
      <c r="K37" s="541"/>
      <c r="L37" s="566"/>
      <c r="M37" s="567"/>
    </row>
    <row r="38" spans="1:14" s="38" customFormat="1" ht="17.25" customHeight="1" x14ac:dyDescent="0.25">
      <c r="A38" s="535" t="s">
        <v>39</v>
      </c>
      <c r="B38" s="536">
        <f>+[3]T4!$D$31</f>
        <v>13810.5</v>
      </c>
      <c r="C38" s="537"/>
      <c r="D38" s="536">
        <v>0</v>
      </c>
      <c r="E38" s="537"/>
      <c r="F38" s="536">
        <f>+[3]T4!$D$33</f>
        <v>30</v>
      </c>
      <c r="G38" s="537"/>
      <c r="H38" s="547">
        <f>+B38+D38+F38</f>
        <v>13840.5</v>
      </c>
      <c r="I38" s="548"/>
      <c r="J38" s="549"/>
      <c r="K38" s="541"/>
      <c r="L38" s="566"/>
      <c r="M38" s="567"/>
    </row>
    <row r="39" spans="1:14" s="38" customFormat="1" ht="17.25" customHeight="1" x14ac:dyDescent="0.25">
      <c r="A39" s="535"/>
      <c r="B39" s="550">
        <f>+B38/$H$38*100</f>
        <v>99.783244824970197</v>
      </c>
      <c r="C39" s="551" t="e">
        <f>+C38/C44*100</f>
        <v>#REF!</v>
      </c>
      <c r="D39" s="550">
        <f t="shared" ref="D39" si="28">+D38/$H$38*100</f>
        <v>0</v>
      </c>
      <c r="E39" s="551" t="e">
        <f>+E38/E44*100</f>
        <v>#REF!</v>
      </c>
      <c r="F39" s="550">
        <f t="shared" ref="F39" si="29">+F38/$H$38*100</f>
        <v>0.21675517502980382</v>
      </c>
      <c r="G39" s="551" t="e">
        <f>+G38/G44*100</f>
        <v>#REF!</v>
      </c>
      <c r="H39" s="550">
        <f t="shared" ref="H39" si="30">+H38/$H$38*100</f>
        <v>100</v>
      </c>
      <c r="I39" s="551" t="e">
        <f>+I38/I44*100</f>
        <v>#REF!</v>
      </c>
      <c r="J39" s="549">
        <f>+H38/$H$44*100</f>
        <v>6.6463058870985163</v>
      </c>
      <c r="K39" s="541"/>
      <c r="L39" s="566"/>
      <c r="M39" s="567"/>
    </row>
    <row r="40" spans="1:14" s="38" customFormat="1" ht="17.25" customHeight="1" x14ac:dyDescent="0.25">
      <c r="A40" s="535" t="s">
        <v>173</v>
      </c>
      <c r="B40" s="536">
        <f>+[3]T4!$F$31</f>
        <v>15009</v>
      </c>
      <c r="C40" s="537"/>
      <c r="D40" s="536">
        <v>0</v>
      </c>
      <c r="E40" s="537"/>
      <c r="F40" s="536">
        <f>+[3]T4!$F$33</f>
        <v>54</v>
      </c>
      <c r="G40" s="537"/>
      <c r="H40" s="547">
        <f>+B40+D40+F40</f>
        <v>15063</v>
      </c>
      <c r="I40" s="548"/>
      <c r="J40" s="549"/>
      <c r="K40" s="541"/>
      <c r="L40" s="566"/>
      <c r="M40" s="567"/>
    </row>
    <row r="41" spans="1:14" s="38" customFormat="1" ht="17.25" customHeight="1" x14ac:dyDescent="0.25">
      <c r="A41" s="535"/>
      <c r="B41" s="554">
        <f>+B40/$H$36*100</f>
        <v>57.363985552943873</v>
      </c>
      <c r="C41" s="555" t="e">
        <f>+C40/C42*100</f>
        <v>#DIV/0!</v>
      </c>
      <c r="D41" s="554">
        <f t="shared" ref="D41" si="31">+D40/$H$36*100</f>
        <v>0</v>
      </c>
      <c r="E41" s="555" t="e">
        <f t="shared" ref="E41" si="32">+E40/E42*100</f>
        <v>#DIV/0!</v>
      </c>
      <c r="F41" s="554">
        <f t="shared" ref="F41" si="33">+F40/$H$36*100</f>
        <v>0.20638651608094941</v>
      </c>
      <c r="G41" s="555" t="e">
        <f t="shared" ref="G41" si="34">+G40/G42*100</f>
        <v>#DIV/0!</v>
      </c>
      <c r="H41" s="554">
        <f t="shared" ref="H41" si="35">+H40/$H$36*100</f>
        <v>57.57037206902482</v>
      </c>
      <c r="I41" s="555" t="e">
        <f t="shared" ref="I41" si="36">+I40/I42*100</f>
        <v>#DIV/0!</v>
      </c>
      <c r="J41" s="549">
        <f>+H40/$H$44*100</f>
        <v>7.2333590244113264</v>
      </c>
      <c r="K41" s="541"/>
      <c r="L41" s="566"/>
      <c r="M41" s="567"/>
    </row>
    <row r="42" spans="1:14" s="38" customFormat="1" ht="17.25" customHeight="1" x14ac:dyDescent="0.25">
      <c r="A42" s="530" t="s">
        <v>174</v>
      </c>
      <c r="B42" s="536">
        <f>+[3]T4!$H$31</f>
        <v>16030.5</v>
      </c>
      <c r="C42" s="537"/>
      <c r="D42" s="536">
        <v>0</v>
      </c>
      <c r="E42" s="537"/>
      <c r="F42" s="536">
        <f>+[3]T4!$H$33</f>
        <v>84</v>
      </c>
      <c r="G42" s="537"/>
      <c r="H42" s="547">
        <f>+B42+D42+F42</f>
        <v>16114.5</v>
      </c>
      <c r="I42" s="548"/>
      <c r="J42" s="549"/>
      <c r="K42" s="541"/>
      <c r="L42" s="566"/>
      <c r="M42" s="567"/>
    </row>
    <row r="43" spans="1:14" s="38" customFormat="1" ht="17.25" customHeight="1" x14ac:dyDescent="0.25">
      <c r="A43" s="530"/>
      <c r="B43" s="550">
        <f>+B42/$H$38*100</f>
        <v>115.82312777717567</v>
      </c>
      <c r="C43" s="551" t="e">
        <f>+C42/#REF!*100</f>
        <v>#REF!</v>
      </c>
      <c r="D43" s="550">
        <f t="shared" ref="D43" si="37">+D42/$H$38*100</f>
        <v>0</v>
      </c>
      <c r="E43" s="551" t="e">
        <f>+E42/#REF!*100</f>
        <v>#REF!</v>
      </c>
      <c r="F43" s="550">
        <f t="shared" ref="F43" si="38">+F42/$H$38*100</f>
        <v>0.60691449008345066</v>
      </c>
      <c r="G43" s="551" t="e">
        <f>+G42/#REF!*100</f>
        <v>#REF!</v>
      </c>
      <c r="H43" s="550">
        <f t="shared" ref="H43" si="39">+H42/$H$38*100</f>
        <v>116.43004226725913</v>
      </c>
      <c r="I43" s="551" t="e">
        <f>+I42/#REF!*100</f>
        <v>#REF!</v>
      </c>
      <c r="J43" s="549">
        <f>+H42/$H$44*100</f>
        <v>7.7382967535601352</v>
      </c>
      <c r="K43" s="541"/>
      <c r="L43" s="566"/>
      <c r="M43" s="567"/>
    </row>
    <row r="44" spans="1:14" s="38" customFormat="1" ht="17.25" customHeight="1" x14ac:dyDescent="0.25">
      <c r="A44" s="524" t="s">
        <v>43</v>
      </c>
      <c r="B44" s="556">
        <f>+B28+B30+B32+B34+B36+B38+B40+B42</f>
        <v>207028.5</v>
      </c>
      <c r="C44" s="529" t="e">
        <f>+#REF!+#REF!+#REF!+#REF!+#REF!+C38+C28</f>
        <v>#REF!</v>
      </c>
      <c r="D44" s="556">
        <f t="shared" ref="D44" si="40">+D28+D30+D32+D34+D36+D38</f>
        <v>0</v>
      </c>
      <c r="E44" s="529" t="e">
        <f>+#REF!+#REF!+#REF!+#REF!+#REF!+E38+E28</f>
        <v>#REF!</v>
      </c>
      <c r="F44" s="556">
        <f>+F28+F30+F32+F34+F36+F38+F40+F42</f>
        <v>1215</v>
      </c>
      <c r="G44" s="529" t="e">
        <f>+#REF!+#REF!+#REF!+#REF!+#REF!+G38+G28</f>
        <v>#REF!</v>
      </c>
      <c r="H44" s="556">
        <f>+H28+H30+H32+H34+H36+H38+H40+H42</f>
        <v>208243.5</v>
      </c>
      <c r="I44" s="529" t="e">
        <f>+#REF!+#REF!+#REF!+#REF!+#REF!+I38+I28</f>
        <v>#REF!</v>
      </c>
      <c r="J44" s="549"/>
      <c r="K44" s="541"/>
      <c r="L44" s="566"/>
      <c r="M44" s="567"/>
      <c r="N44" s="168">
        <f>+B44+F44</f>
        <v>208243.5</v>
      </c>
    </row>
    <row r="45" spans="1:14" s="38" customFormat="1" ht="15" customHeight="1" x14ac:dyDescent="0.25">
      <c r="A45" s="524"/>
      <c r="B45" s="550">
        <f>+B44/$H$44*100</f>
        <v>99.416548415676843</v>
      </c>
      <c r="C45" s="551" t="e">
        <f>+C29+C39+#REF!+#REF!+#REF!+#REF!</f>
        <v>#REF!</v>
      </c>
      <c r="D45" s="550">
        <f t="shared" ref="D45" si="41">+D44/$H$44*100</f>
        <v>0</v>
      </c>
      <c r="E45" s="551" t="e">
        <f>+E29+E39+#REF!+#REF!+#REF!+#REF!</f>
        <v>#REF!</v>
      </c>
      <c r="F45" s="550">
        <f t="shared" ref="F45" si="42">+F44/$H$44*100</f>
        <v>0.58345158432316013</v>
      </c>
      <c r="G45" s="551" t="e">
        <f>+G29+G39+#REF!+#REF!+#REF!+#REF!</f>
        <v>#REF!</v>
      </c>
      <c r="H45" s="550">
        <f t="shared" ref="H45" si="43">+H44/$H$44*100</f>
        <v>100</v>
      </c>
      <c r="I45" s="551" t="e">
        <f>+I29+I39+#REF!+#REF!+#REF!+#REF!</f>
        <v>#REF!</v>
      </c>
      <c r="J45" s="549">
        <f>+H44/$H$44*100</f>
        <v>100</v>
      </c>
      <c r="K45" s="541"/>
      <c r="L45" s="568"/>
      <c r="M45" s="569"/>
    </row>
    <row r="46" spans="1:14" ht="16.5" customHeight="1" x14ac:dyDescent="0.25">
      <c r="A46" s="2" t="s">
        <v>175</v>
      </c>
      <c r="B46" s="7"/>
      <c r="C46" s="7"/>
      <c r="D46" s="7"/>
      <c r="E46" s="7"/>
      <c r="F46" s="7"/>
      <c r="G46" s="7"/>
      <c r="J46" s="7"/>
      <c r="K46" s="7"/>
      <c r="L46" s="7"/>
      <c r="M46" s="7"/>
    </row>
    <row r="47" spans="1:14" s="38" customFormat="1" ht="17.25" customHeight="1" x14ac:dyDescent="0.25">
      <c r="A47" s="524" t="s">
        <v>32</v>
      </c>
      <c r="B47" s="542" t="s">
        <v>33</v>
      </c>
      <c r="C47" s="542"/>
      <c r="D47" s="542"/>
      <c r="E47" s="542"/>
      <c r="F47" s="542"/>
      <c r="G47" s="542"/>
      <c r="H47" s="542"/>
      <c r="I47" s="542"/>
      <c r="J47" s="543" t="s">
        <v>34</v>
      </c>
      <c r="K47" s="544"/>
      <c r="L47" s="524" t="s">
        <v>35</v>
      </c>
      <c r="M47" s="524"/>
      <c r="N47" s="38" t="s">
        <v>150</v>
      </c>
    </row>
    <row r="48" spans="1:14" s="38" customFormat="1" ht="17.25" customHeight="1" x14ac:dyDescent="0.25">
      <c r="A48" s="524"/>
      <c r="B48" s="528" t="s">
        <v>18</v>
      </c>
      <c r="C48" s="529"/>
      <c r="D48" s="528" t="s">
        <v>19</v>
      </c>
      <c r="E48" s="529"/>
      <c r="F48" s="528" t="s">
        <v>20</v>
      </c>
      <c r="G48" s="529"/>
      <c r="H48" s="528" t="s">
        <v>36</v>
      </c>
      <c r="I48" s="529"/>
      <c r="J48" s="545"/>
      <c r="K48" s="546"/>
      <c r="L48" s="524"/>
      <c r="M48" s="524"/>
    </row>
    <row r="49" spans="1:13" s="38" customFormat="1" ht="17.25" customHeight="1" x14ac:dyDescent="0.25">
      <c r="A49" s="500" t="s">
        <v>40</v>
      </c>
      <c r="B49" s="536">
        <f>+[3]T4!$D$39</f>
        <v>25628.799999999999</v>
      </c>
      <c r="C49" s="537"/>
      <c r="D49" s="536">
        <v>0</v>
      </c>
      <c r="E49" s="537"/>
      <c r="F49" s="536">
        <f>+[3]T4!$D$41</f>
        <v>835.2</v>
      </c>
      <c r="G49" s="537"/>
      <c r="H49" s="538">
        <f>+B49+D49+F49</f>
        <v>26464</v>
      </c>
      <c r="I49" s="539"/>
      <c r="J49" s="540"/>
      <c r="K49" s="541"/>
      <c r="L49" s="564"/>
      <c r="M49" s="565"/>
    </row>
    <row r="50" spans="1:13" s="38" customFormat="1" ht="17.25" customHeight="1" x14ac:dyDescent="0.25">
      <c r="A50" s="500"/>
      <c r="B50" s="550">
        <f>+B49/$H$28*100</f>
        <v>32.481401214149017</v>
      </c>
      <c r="C50" s="551" t="e">
        <f>+C49/C67*100</f>
        <v>#REF!</v>
      </c>
      <c r="D50" s="550">
        <f t="shared" ref="D50" si="44">+D49/$H$28*100</f>
        <v>0</v>
      </c>
      <c r="E50" s="551" t="e">
        <f>+E49/E67*100</f>
        <v>#REF!</v>
      </c>
      <c r="F50" s="550">
        <f t="shared" ref="F50" si="45">+F49/$H$28*100</f>
        <v>1.0585148853655755</v>
      </c>
      <c r="G50" s="551" t="e">
        <f>+G49/G67*100</f>
        <v>#REF!</v>
      </c>
      <c r="H50" s="550">
        <f t="shared" ref="H50" si="46">+H49/$H$28*100</f>
        <v>33.539916099514592</v>
      </c>
      <c r="I50" s="551" t="e">
        <f>+I49/I67*100</f>
        <v>#REF!</v>
      </c>
      <c r="J50" s="549">
        <f>+H49/$H$44*100</f>
        <v>12.708199775743301</v>
      </c>
      <c r="K50" s="541"/>
      <c r="L50" s="566"/>
      <c r="M50" s="567"/>
    </row>
    <row r="51" spans="1:13" s="38" customFormat="1" ht="17.25" customHeight="1" x14ac:dyDescent="0.25">
      <c r="A51" s="535" t="s">
        <v>39</v>
      </c>
      <c r="B51" s="536">
        <f>+[3]T4!$F$39</f>
        <v>9072</v>
      </c>
      <c r="C51" s="537"/>
      <c r="D51" s="536">
        <v>0</v>
      </c>
      <c r="E51" s="537"/>
      <c r="F51" s="536">
        <f>+[3]T4!$F$41</f>
        <v>270.39999999999998</v>
      </c>
      <c r="G51" s="537"/>
      <c r="H51" s="547">
        <f>+B51+D51+F51</f>
        <v>9342.4</v>
      </c>
      <c r="I51" s="548"/>
      <c r="J51" s="549"/>
      <c r="K51" s="541"/>
      <c r="L51" s="566"/>
      <c r="M51" s="567"/>
    </row>
    <row r="52" spans="1:13" s="38" customFormat="1" ht="17.25" customHeight="1" x14ac:dyDescent="0.25">
      <c r="A52" s="535"/>
      <c r="B52" s="550">
        <f>+B51/$H$30*100</f>
        <v>93.942218080149104</v>
      </c>
      <c r="C52" s="551" t="e">
        <f>+C51/C59*100</f>
        <v>#DIV/0!</v>
      </c>
      <c r="D52" s="550">
        <f t="shared" ref="D52" si="47">+D51/$H$30*100</f>
        <v>0</v>
      </c>
      <c r="E52" s="551" t="e">
        <f t="shared" ref="E52" si="48">+E51/E59*100</f>
        <v>#DIV/0!</v>
      </c>
      <c r="F52" s="550">
        <f t="shared" ref="F52" si="49">+F51/$H$30*100</f>
        <v>2.8000414207310755</v>
      </c>
      <c r="G52" s="551" t="e">
        <f t="shared" ref="G52" si="50">+G51/G59*100</f>
        <v>#DIV/0!</v>
      </c>
      <c r="H52" s="550">
        <f t="shared" ref="H52" si="51">+H51/$H$30*100</f>
        <v>96.742259500880195</v>
      </c>
      <c r="I52" s="551" t="e">
        <f t="shared" ref="I52" si="52">+I51/I59*100</f>
        <v>#DIV/0!</v>
      </c>
      <c r="J52" s="549">
        <f>+H51/$H$44*100</f>
        <v>4.4862864867330794</v>
      </c>
      <c r="K52" s="541"/>
      <c r="L52" s="566"/>
      <c r="M52" s="567"/>
    </row>
    <row r="53" spans="1:13" s="38" customFormat="1" ht="17.25" customHeight="1" x14ac:dyDescent="0.25">
      <c r="A53" s="552" t="s">
        <v>38</v>
      </c>
      <c r="B53" s="556">
        <f>+[3]T4!$H$39</f>
        <v>347.2</v>
      </c>
      <c r="C53" s="529"/>
      <c r="D53" s="536">
        <v>0</v>
      </c>
      <c r="E53" s="537"/>
      <c r="F53" s="536">
        <f>+[3]T4!$H$41</f>
        <v>6.4</v>
      </c>
      <c r="G53" s="537"/>
      <c r="H53" s="547">
        <f>+B53+D53+F53</f>
        <v>353.59999999999997</v>
      </c>
      <c r="I53" s="548"/>
      <c r="J53" s="549"/>
      <c r="K53" s="541"/>
      <c r="L53" s="566"/>
      <c r="M53" s="567"/>
    </row>
    <row r="54" spans="1:13" s="38" customFormat="1" ht="17.25" customHeight="1" x14ac:dyDescent="0.25">
      <c r="A54" s="553"/>
      <c r="B54" s="550">
        <f t="shared" ref="B54" si="53">+B53/$H$30*100</f>
        <v>3.5953194573884226</v>
      </c>
      <c r="C54" s="551" t="e">
        <f>+C53/#REF!*100</f>
        <v>#REF!</v>
      </c>
      <c r="D54" s="550">
        <f t="shared" ref="D54" si="54">+D53/$H$32*100</f>
        <v>0</v>
      </c>
      <c r="E54" s="551"/>
      <c r="F54" s="550">
        <f t="shared" ref="F54" si="55">+F53/$H$32*100</f>
        <v>2.7637431446214972E-2</v>
      </c>
      <c r="G54" s="551"/>
      <c r="H54" s="550">
        <f t="shared" ref="H54" si="56">+H53/$H$32*100</f>
        <v>1.5269680874033769</v>
      </c>
      <c r="I54" s="551"/>
      <c r="J54" s="549">
        <f>+H53/$H$44*100</f>
        <v>0.16980121828532463</v>
      </c>
      <c r="K54" s="541"/>
      <c r="L54" s="566"/>
      <c r="M54" s="567"/>
    </row>
    <row r="55" spans="1:13" s="38" customFormat="1" ht="17.25" customHeight="1" x14ac:dyDescent="0.25">
      <c r="A55" s="552" t="s">
        <v>37</v>
      </c>
      <c r="B55" s="536">
        <f>+[3]T4!$J$39</f>
        <v>56257.600000000013</v>
      </c>
      <c r="C55" s="537"/>
      <c r="D55" s="536">
        <v>0</v>
      </c>
      <c r="E55" s="537"/>
      <c r="F55" s="536">
        <f>+[3]T4!$J$41</f>
        <v>13191.999999999995</v>
      </c>
      <c r="G55" s="537"/>
      <c r="H55" s="547">
        <f>+B55+D55+F55</f>
        <v>69449.600000000006</v>
      </c>
      <c r="I55" s="548"/>
      <c r="J55" s="549"/>
      <c r="K55" s="541"/>
      <c r="L55" s="566"/>
      <c r="M55" s="567"/>
    </row>
    <row r="56" spans="1:13" s="38" customFormat="1" ht="17.25" customHeight="1" x14ac:dyDescent="0.25">
      <c r="A56" s="553"/>
      <c r="B56" s="554">
        <f>+B55/$H$34*100</f>
        <v>221.97601010101016</v>
      </c>
      <c r="C56" s="555" t="e">
        <f>+C55/C57*100</f>
        <v>#DIV/0!</v>
      </c>
      <c r="D56" s="554">
        <f t="shared" ref="D56" si="57">+D55/$H$34*100</f>
        <v>0</v>
      </c>
      <c r="E56" s="555" t="e">
        <f t="shared" ref="E56" si="58">+E55/E57*100</f>
        <v>#DIV/0!</v>
      </c>
      <c r="F56" s="554">
        <f t="shared" ref="F56" si="59">+F55/$H$34*100</f>
        <v>52.05176767676766</v>
      </c>
      <c r="G56" s="555" t="e">
        <f t="shared" ref="G56" si="60">+G55/G57*100</f>
        <v>#DIV/0!</v>
      </c>
      <c r="H56" s="554">
        <f t="shared" ref="H56" si="61">+H55/$H$34*100</f>
        <v>274.02777777777783</v>
      </c>
      <c r="I56" s="555" t="e">
        <f t="shared" ref="I56" si="62">+I55/I57*100</f>
        <v>#DIV/0!</v>
      </c>
      <c r="J56" s="549">
        <f>+H55/$H$44*100</f>
        <v>33.350188601324895</v>
      </c>
      <c r="K56" s="541"/>
      <c r="L56" s="566"/>
      <c r="M56" s="567"/>
    </row>
    <row r="57" spans="1:13" s="38" customFormat="1" ht="17.25" customHeight="1" x14ac:dyDescent="0.25">
      <c r="A57" s="535" t="s">
        <v>117</v>
      </c>
      <c r="B57" s="536">
        <f>+[3]T4!$L$39</f>
        <v>44201.599999999999</v>
      </c>
      <c r="C57" s="537"/>
      <c r="D57" s="536">
        <v>0</v>
      </c>
      <c r="E57" s="537"/>
      <c r="F57" s="536">
        <f>+[3]T4!$L$41</f>
        <v>2344</v>
      </c>
      <c r="G57" s="537"/>
      <c r="H57" s="547">
        <f>+B57+D57+F57</f>
        <v>46545.599999999999</v>
      </c>
      <c r="I57" s="548"/>
      <c r="J57" s="549"/>
      <c r="K57" s="541"/>
      <c r="L57" s="566"/>
      <c r="M57" s="567"/>
    </row>
    <row r="58" spans="1:13" s="38" customFormat="1" ht="17.25" customHeight="1" x14ac:dyDescent="0.25">
      <c r="A58" s="535"/>
      <c r="B58" s="554">
        <f>+B57/$H$36*100</f>
        <v>168.9373005408091</v>
      </c>
      <c r="C58" s="555" t="e">
        <f>+C57/C59*100</f>
        <v>#DIV/0!</v>
      </c>
      <c r="D58" s="554">
        <f t="shared" ref="D58" si="63">+D57/$H$36*100</f>
        <v>0</v>
      </c>
      <c r="E58" s="555" t="e">
        <f t="shared" ref="E58" si="64">+E57/E59*100</f>
        <v>#DIV/0!</v>
      </c>
      <c r="F58" s="554">
        <f t="shared" ref="F58" si="65">+F57/$H$36*100</f>
        <v>8.9587035869212102</v>
      </c>
      <c r="G58" s="555" t="e">
        <f t="shared" ref="G58" si="66">+G57/G59*100</f>
        <v>#DIV/0!</v>
      </c>
      <c r="H58" s="554">
        <f t="shared" ref="H58" si="67">+H57/$H$36*100</f>
        <v>177.89600412773032</v>
      </c>
      <c r="I58" s="555" t="e">
        <f t="shared" ref="I58" si="68">+I57/I59*100</f>
        <v>#DIV/0!</v>
      </c>
      <c r="J58" s="549">
        <f>+H57/$H$44*100</f>
        <v>22.351525978001714</v>
      </c>
      <c r="K58" s="541"/>
      <c r="L58" s="566"/>
      <c r="M58" s="567"/>
    </row>
    <row r="59" spans="1:13" s="38" customFormat="1" ht="17.25" customHeight="1" x14ac:dyDescent="0.25">
      <c r="A59" s="535" t="s">
        <v>176</v>
      </c>
      <c r="B59" s="536">
        <f>+[3]T4!$D$46</f>
        <v>5638.4</v>
      </c>
      <c r="C59" s="537"/>
      <c r="D59" s="536">
        <v>0</v>
      </c>
      <c r="E59" s="537"/>
      <c r="F59" s="536">
        <f>+[3]T4!$D$48</f>
        <v>417.59999999999997</v>
      </c>
      <c r="G59" s="537"/>
      <c r="H59" s="547">
        <f>+B59+D59+F59</f>
        <v>6056</v>
      </c>
      <c r="I59" s="548"/>
      <c r="J59" s="549"/>
      <c r="K59" s="541"/>
      <c r="L59" s="566"/>
      <c r="M59" s="567"/>
    </row>
    <row r="60" spans="1:13" s="38" customFormat="1" ht="17.25" customHeight="1" x14ac:dyDescent="0.25">
      <c r="A60" s="535"/>
      <c r="B60" s="550">
        <f>+B59/$H$38*100</f>
        <v>40.738412629601527</v>
      </c>
      <c r="C60" s="551" t="e">
        <f>+C59/C67*100</f>
        <v>#REF!</v>
      </c>
      <c r="D60" s="550">
        <f t="shared" ref="D60" si="69">+D59/$H$38*100</f>
        <v>0</v>
      </c>
      <c r="E60" s="551" t="e">
        <f>+E59/E67*100</f>
        <v>#REF!</v>
      </c>
      <c r="F60" s="550">
        <f t="shared" ref="F60" si="70">+F59/$H$38*100</f>
        <v>3.0172320364148693</v>
      </c>
      <c r="G60" s="551" t="e">
        <f>+G59/G67*100</f>
        <v>#REF!</v>
      </c>
      <c r="H60" s="550">
        <f t="shared" ref="H60" si="71">+H59/$H$38*100</f>
        <v>43.755644666016401</v>
      </c>
      <c r="I60" s="551" t="e">
        <f>+I59/I67*100</f>
        <v>#REF!</v>
      </c>
      <c r="J60" s="549">
        <f>+H59/$H$44*100</f>
        <v>2.9081339873753564</v>
      </c>
      <c r="K60" s="541"/>
      <c r="L60" s="566"/>
      <c r="M60" s="567"/>
    </row>
    <row r="61" spans="1:13" s="38" customFormat="1" ht="17.25" customHeight="1" x14ac:dyDescent="0.25">
      <c r="A61" s="535" t="s">
        <v>177</v>
      </c>
      <c r="B61" s="536">
        <f>+[3]T4!$F$46</f>
        <v>5236.7999999999993</v>
      </c>
      <c r="C61" s="537"/>
      <c r="D61" s="536">
        <v>0</v>
      </c>
      <c r="E61" s="537"/>
      <c r="F61" s="536">
        <f>+[3]T4!$F$48</f>
        <v>284.8</v>
      </c>
      <c r="G61" s="537"/>
      <c r="H61" s="547">
        <f>+B61+D61+F61</f>
        <v>5521.5999999999995</v>
      </c>
      <c r="I61" s="548"/>
      <c r="J61" s="549"/>
      <c r="K61" s="541"/>
      <c r="L61" s="566"/>
      <c r="M61" s="567"/>
    </row>
    <row r="62" spans="1:13" s="38" customFormat="1" ht="17.25" customHeight="1" x14ac:dyDescent="0.25">
      <c r="A62" s="535"/>
      <c r="B62" s="554">
        <f>+B61/$H$36*100</f>
        <v>20.014905692828066</v>
      </c>
      <c r="C62" s="555" t="e">
        <f>+C61/C63*100</f>
        <v>#DIV/0!</v>
      </c>
      <c r="D62" s="554">
        <f t="shared" ref="D62" si="72">+D61/$H$36*100</f>
        <v>0</v>
      </c>
      <c r="E62" s="555" t="e">
        <f t="shared" ref="E62" si="73">+E61/E63*100</f>
        <v>#DIV/0!</v>
      </c>
      <c r="F62" s="554">
        <f t="shared" ref="F62" si="74">+F61/$H$36*100</f>
        <v>1.0884977737010071</v>
      </c>
      <c r="G62" s="555" t="e">
        <f t="shared" ref="G62" si="75">+G61/G63*100</f>
        <v>#DIV/0!</v>
      </c>
      <c r="H62" s="554">
        <f t="shared" ref="H62" si="76">+H61/$H$36*100</f>
        <v>21.103403466529073</v>
      </c>
      <c r="I62" s="555" t="e">
        <f t="shared" ref="I62" si="77">+I61/I63*100</f>
        <v>#DIV/0!</v>
      </c>
      <c r="J62" s="549">
        <f>+H61/$H$44*100</f>
        <v>2.6515113316862227</v>
      </c>
      <c r="K62" s="541"/>
      <c r="L62" s="566"/>
      <c r="M62" s="567"/>
    </row>
    <row r="63" spans="1:13" s="38" customFormat="1" ht="17.25" customHeight="1" x14ac:dyDescent="0.25">
      <c r="A63" s="637" t="s">
        <v>178</v>
      </c>
      <c r="B63" s="536">
        <f>+[3]T4!$H$46</f>
        <v>36112</v>
      </c>
      <c r="C63" s="537"/>
      <c r="D63" s="536">
        <v>0</v>
      </c>
      <c r="E63" s="537"/>
      <c r="F63" s="536"/>
      <c r="G63" s="537"/>
      <c r="H63" s="547">
        <f>+B63+D63+F63</f>
        <v>36112</v>
      </c>
      <c r="I63" s="548"/>
      <c r="J63" s="549"/>
      <c r="K63" s="541"/>
      <c r="L63" s="566"/>
      <c r="M63" s="567"/>
    </row>
    <row r="64" spans="1:13" s="38" customFormat="1" ht="17.25" customHeight="1" x14ac:dyDescent="0.25">
      <c r="A64" s="637"/>
      <c r="B64" s="550">
        <f>+B63/$H$38*100</f>
        <v>260.91542935587586</v>
      </c>
      <c r="C64" s="551" t="e">
        <f>+C63/C78*100</f>
        <v>#DIV/0!</v>
      </c>
      <c r="D64" s="550">
        <f t="shared" ref="D64:D66" si="78">+D63/$H$38*100</f>
        <v>0</v>
      </c>
      <c r="E64" s="551">
        <f>+E63/E78*100</f>
        <v>0</v>
      </c>
      <c r="F64" s="550">
        <f t="shared" ref="F64:F66" si="79">+F63/$H$38*100</f>
        <v>0</v>
      </c>
      <c r="G64" s="551">
        <f>+G63/G78*100</f>
        <v>0</v>
      </c>
      <c r="H64" s="550">
        <f t="shared" ref="H64:H66" si="80">+H63/$H$38*100</f>
        <v>260.91542935587586</v>
      </c>
      <c r="I64" s="551">
        <f>+I63/I78*100</f>
        <v>0</v>
      </c>
      <c r="J64" s="549">
        <f>+H63/$H$44*100</f>
        <v>17.341237541627947</v>
      </c>
      <c r="K64" s="541"/>
      <c r="L64" s="566"/>
      <c r="M64" s="567"/>
    </row>
    <row r="65" spans="1:19" s="38" customFormat="1" ht="17.25" customHeight="1" x14ac:dyDescent="0.25">
      <c r="A65" s="500" t="s">
        <v>42</v>
      </c>
      <c r="B65" s="536">
        <f>+[3]T4!$J$46</f>
        <v>24347.200000000001</v>
      </c>
      <c r="C65" s="537"/>
      <c r="D65" s="536">
        <v>0</v>
      </c>
      <c r="E65" s="537"/>
      <c r="F65" s="536">
        <f>+[3]T4!$J$48</f>
        <v>542.40000000000009</v>
      </c>
      <c r="G65" s="537"/>
      <c r="H65" s="547">
        <f>+B65+D65+F65</f>
        <v>24889.600000000002</v>
      </c>
      <c r="I65" s="548"/>
      <c r="J65" s="549"/>
      <c r="K65" s="541"/>
      <c r="L65" s="566"/>
      <c r="M65" s="567"/>
    </row>
    <row r="66" spans="1:19" s="38" customFormat="1" ht="17.25" customHeight="1" x14ac:dyDescent="0.25">
      <c r="A66" s="500"/>
      <c r="B66" s="550">
        <f>+B65/$H$38*100</f>
        <v>175.912719916188</v>
      </c>
      <c r="C66" s="551" t="e">
        <f>+C65/C80*100</f>
        <v>#DIV/0!</v>
      </c>
      <c r="D66" s="550">
        <f t="shared" si="78"/>
        <v>0</v>
      </c>
      <c r="E66" s="551">
        <f>+E65/E80*100</f>
        <v>0</v>
      </c>
      <c r="F66" s="550">
        <f t="shared" si="79"/>
        <v>3.9189335645388539</v>
      </c>
      <c r="G66" s="551">
        <f>+G65/G80*100</f>
        <v>0</v>
      </c>
      <c r="H66" s="550">
        <f t="shared" si="80"/>
        <v>179.83165348072689</v>
      </c>
      <c r="I66" s="551">
        <f>+I65/I80*100</f>
        <v>0</v>
      </c>
      <c r="J66" s="549">
        <f>+H65/$H$44*100</f>
        <v>11.952161772156154</v>
      </c>
      <c r="K66" s="541"/>
      <c r="L66" s="566"/>
      <c r="M66" s="567"/>
    </row>
    <row r="67" spans="1:19" s="38" customFormat="1" ht="17.25" customHeight="1" x14ac:dyDescent="0.25">
      <c r="A67" s="524" t="s">
        <v>43</v>
      </c>
      <c r="B67" s="556">
        <f>+B49+B51+B53+B55+B57+B59+B61+B63+B65</f>
        <v>206841.60000000001</v>
      </c>
      <c r="C67" s="529" t="e">
        <f>+#REF!+#REF!+#REF!+#REF!+#REF!+C59+C49</f>
        <v>#REF!</v>
      </c>
      <c r="D67" s="556">
        <f t="shared" ref="D67" si="81">+D49+D51+D53+D55+D57+D59</f>
        <v>0</v>
      </c>
      <c r="E67" s="529" t="e">
        <f>+#REF!+#REF!+#REF!+#REF!+#REF!+E59+E49</f>
        <v>#REF!</v>
      </c>
      <c r="F67" s="556">
        <f>+F49+F51+F53+F55+F57+F59+F61+F65</f>
        <v>17892.799999999992</v>
      </c>
      <c r="G67" s="529" t="e">
        <f>+#REF!+#REF!+#REF!+#REF!+#REF!+G59+G49</f>
        <v>#REF!</v>
      </c>
      <c r="H67" s="556">
        <f>+H49+H51+H53+H55+H57+H59+H61+H63+H65</f>
        <v>224734.40000000002</v>
      </c>
      <c r="I67" s="529" t="e">
        <f>+#REF!+#REF!+#REF!+#REF!+#REF!+I59+I49</f>
        <v>#REF!</v>
      </c>
      <c r="J67" s="549"/>
      <c r="K67" s="541"/>
      <c r="L67" s="566"/>
      <c r="M67" s="567"/>
    </row>
    <row r="68" spans="1:19" s="38" customFormat="1" ht="17.25" customHeight="1" x14ac:dyDescent="0.25">
      <c r="A68" s="524"/>
      <c r="B68" s="550">
        <f>+B67/$H$44*100</f>
        <v>99.326797715174791</v>
      </c>
      <c r="C68" s="551" t="e">
        <f>+C50+C60+#REF!+#REF!+#REF!+#REF!</f>
        <v>#REF!</v>
      </c>
      <c r="D68" s="550">
        <f t="shared" ref="D68" si="82">+D67/$H$44*100</f>
        <v>0</v>
      </c>
      <c r="E68" s="551" t="e">
        <f>+E50+E60+#REF!+#REF!+#REF!+#REF!</f>
        <v>#REF!</v>
      </c>
      <c r="F68" s="550">
        <f t="shared" ref="F68" si="83">+F67/$H$44*100</f>
        <v>8.5922489777592066</v>
      </c>
      <c r="G68" s="551" t="e">
        <f>+G50+G60+#REF!+#REF!+#REF!+#REF!</f>
        <v>#REF!</v>
      </c>
      <c r="H68" s="550">
        <f t="shared" ref="H68" si="84">+H67/$H$44*100</f>
        <v>107.91904669293399</v>
      </c>
      <c r="I68" s="551" t="e">
        <f>+I50+I60+#REF!+#REF!+#REF!+#REF!</f>
        <v>#REF!</v>
      </c>
      <c r="J68" s="549">
        <f>+H67/$H$44*100</f>
        <v>107.91904669293399</v>
      </c>
      <c r="K68" s="541"/>
      <c r="L68" s="568"/>
      <c r="M68" s="569"/>
    </row>
    <row r="69" spans="1:19" ht="22.5" customHeight="1" x14ac:dyDescent="0.25">
      <c r="A69" s="1" t="s">
        <v>179</v>
      </c>
      <c r="B69" s="7"/>
      <c r="C69" s="7"/>
      <c r="D69" s="7"/>
      <c r="E69" s="7"/>
      <c r="F69" s="7"/>
      <c r="G69" s="7"/>
      <c r="J69" s="7"/>
      <c r="K69" s="7"/>
      <c r="L69" s="7"/>
      <c r="M69" s="7"/>
    </row>
    <row r="70" spans="1:19" ht="16.5" customHeight="1" x14ac:dyDescent="0.25">
      <c r="A70" s="1" t="s">
        <v>45</v>
      </c>
      <c r="B70" s="7"/>
      <c r="C70" s="7"/>
      <c r="D70" s="7"/>
      <c r="E70" s="7"/>
      <c r="F70" s="7"/>
      <c r="G70" s="7"/>
      <c r="J70" s="7"/>
      <c r="K70" s="7"/>
      <c r="L70" s="7"/>
      <c r="M70" s="7"/>
    </row>
    <row r="71" spans="1:19" ht="22.5" customHeight="1" x14ac:dyDescent="0.25">
      <c r="A71" s="2" t="s">
        <v>73</v>
      </c>
      <c r="B71" s="7"/>
      <c r="C71" s="7"/>
      <c r="D71" s="7"/>
      <c r="E71" s="7"/>
      <c r="F71" s="7"/>
      <c r="G71" s="7"/>
      <c r="J71" s="7"/>
      <c r="K71" s="7"/>
      <c r="L71" s="7"/>
      <c r="M71" s="7"/>
      <c r="N71" s="157" t="s">
        <v>150</v>
      </c>
    </row>
    <row r="72" spans="1:19" ht="33" customHeight="1" x14ac:dyDescent="0.25">
      <c r="A72" s="9" t="s">
        <v>47</v>
      </c>
      <c r="B72" s="524" t="s">
        <v>48</v>
      </c>
      <c r="C72" s="524"/>
      <c r="D72" s="9" t="s">
        <v>17</v>
      </c>
      <c r="E72" s="9" t="s">
        <v>49</v>
      </c>
      <c r="F72" s="9" t="s">
        <v>50</v>
      </c>
      <c r="G72" s="528" t="s">
        <v>51</v>
      </c>
      <c r="H72" s="529"/>
      <c r="I72" s="9" t="s">
        <v>52</v>
      </c>
      <c r="J72" s="9" t="s">
        <v>53</v>
      </c>
      <c r="K72" s="528" t="s">
        <v>35</v>
      </c>
      <c r="L72" s="557"/>
      <c r="M72" s="529"/>
      <c r="N72" s="47" t="s">
        <v>54</v>
      </c>
      <c r="O72" s="48">
        <f>+O73+O74</f>
        <v>208243.5</v>
      </c>
      <c r="P72" s="47" t="s">
        <v>13</v>
      </c>
      <c r="Q72" s="47">
        <f>+Q73+Q74</f>
        <v>729</v>
      </c>
    </row>
    <row r="73" spans="1:19" ht="31.5" customHeight="1" x14ac:dyDescent="0.25">
      <c r="A73" s="11">
        <v>1</v>
      </c>
      <c r="B73" s="585" t="s">
        <v>74</v>
      </c>
      <c r="C73" s="585"/>
      <c r="D73" s="62" t="s">
        <v>56</v>
      </c>
      <c r="E73" s="32">
        <v>21.26</v>
      </c>
      <c r="F73" s="51">
        <f>+G73/$O$72</f>
        <v>21.363490337033333</v>
      </c>
      <c r="G73" s="578">
        <f>+[3]T4!$I$86</f>
        <v>4448808.0000000009</v>
      </c>
      <c r="H73" s="579"/>
      <c r="I73" s="69">
        <f>+(E73-F73)*$O$72</f>
        <v>-21551.190000000624</v>
      </c>
      <c r="J73" s="80">
        <f t="shared" ref="J73:J84" si="85">+(F73-E73)*$O$74</f>
        <v>0</v>
      </c>
      <c r="K73" s="561" t="s">
        <v>180</v>
      </c>
      <c r="L73" s="562"/>
      <c r="M73" s="563"/>
      <c r="N73" s="54" t="s">
        <v>76</v>
      </c>
      <c r="O73" s="55">
        <f>+H44</f>
        <v>208243.5</v>
      </c>
      <c r="P73" s="55"/>
      <c r="Q73" s="55">
        <f>+[3]T4!$J$35</f>
        <v>729</v>
      </c>
      <c r="R73" s="46"/>
    </row>
    <row r="74" spans="1:19" ht="18" customHeight="1" x14ac:dyDescent="0.25">
      <c r="A74" s="11">
        <v>2</v>
      </c>
      <c r="B74" s="572" t="s">
        <v>77</v>
      </c>
      <c r="C74" s="572"/>
      <c r="D74" s="62" t="s">
        <v>56</v>
      </c>
      <c r="E74" s="63">
        <v>0.28000000000000003</v>
      </c>
      <c r="F74" s="57">
        <f>+G74/$O$73</f>
        <v>0.24935224868963493</v>
      </c>
      <c r="G74" s="578">
        <f>+[3]T4!$I$187</f>
        <v>51925.984999999993</v>
      </c>
      <c r="H74" s="579"/>
      <c r="I74" s="69">
        <f>+(E74-F74)*$O$73</f>
        <v>6382.1950000000134</v>
      </c>
      <c r="J74" s="53">
        <f t="shared" si="85"/>
        <v>0</v>
      </c>
      <c r="K74" s="561"/>
      <c r="L74" s="562"/>
      <c r="M74" s="563"/>
      <c r="N74" s="54"/>
      <c r="O74" s="55"/>
      <c r="P74" s="55"/>
      <c r="Q74" s="55"/>
      <c r="R74" s="46"/>
    </row>
    <row r="75" spans="1:19" ht="18" hidden="1" customHeight="1" x14ac:dyDescent="0.25">
      <c r="A75" s="11">
        <v>3</v>
      </c>
      <c r="B75" s="638" t="s">
        <v>79</v>
      </c>
      <c r="C75" s="639"/>
      <c r="D75" s="62" t="s">
        <v>56</v>
      </c>
      <c r="E75" s="63">
        <v>0.39</v>
      </c>
      <c r="F75" s="70"/>
      <c r="G75" s="559"/>
      <c r="H75" s="560"/>
      <c r="I75" s="69">
        <f>+(E75-F75)*$O$74</f>
        <v>0</v>
      </c>
      <c r="J75" s="53">
        <f t="shared" si="85"/>
        <v>0</v>
      </c>
      <c r="K75" s="58"/>
      <c r="L75" s="58"/>
      <c r="M75" s="61"/>
      <c r="N75" s="71"/>
      <c r="O75" s="71"/>
      <c r="P75" s="71"/>
      <c r="R75" s="46"/>
      <c r="S75" s="6" t="e">
        <f>+I75/G75*100</f>
        <v>#DIV/0!</v>
      </c>
    </row>
    <row r="76" spans="1:19" ht="18" customHeight="1" x14ac:dyDescent="0.25">
      <c r="A76" s="11">
        <v>3</v>
      </c>
      <c r="B76" s="572" t="s">
        <v>80</v>
      </c>
      <c r="C76" s="572"/>
      <c r="D76" s="62" t="s">
        <v>56</v>
      </c>
      <c r="E76" s="63">
        <v>9.8000000000000004E-2</v>
      </c>
      <c r="F76" s="57">
        <f>+G76/$O$73</f>
        <v>9.3882017926129741E-2</v>
      </c>
      <c r="G76" s="578">
        <f>+[3]T4!$I$290</f>
        <v>19550.32</v>
      </c>
      <c r="H76" s="579"/>
      <c r="I76" s="69">
        <f>+(E76-F76)*$O$73</f>
        <v>857.54300000000217</v>
      </c>
      <c r="J76" s="53">
        <f t="shared" si="85"/>
        <v>0</v>
      </c>
      <c r="K76" s="561"/>
      <c r="L76" s="562"/>
      <c r="M76" s="563"/>
      <c r="N76" s="72">
        <v>43127.707000000009</v>
      </c>
      <c r="O76" s="71"/>
      <c r="P76" s="73">
        <f>+[2]T3!$I$70+[2]T3!$I$77</f>
        <v>360521.54969004891</v>
      </c>
      <c r="R76" s="46"/>
      <c r="S76" s="6">
        <f>+I76/G76*100</f>
        <v>4.3863374103339599</v>
      </c>
    </row>
    <row r="77" spans="1:19" s="76" customFormat="1" ht="18" hidden="1" customHeight="1" x14ac:dyDescent="0.25">
      <c r="A77" s="11">
        <v>5</v>
      </c>
      <c r="B77" s="638" t="s">
        <v>81</v>
      </c>
      <c r="C77" s="639"/>
      <c r="D77" s="62" t="s">
        <v>56</v>
      </c>
      <c r="E77" s="63">
        <v>0.39</v>
      </c>
      <c r="F77" s="57"/>
      <c r="G77" s="559"/>
      <c r="H77" s="560"/>
      <c r="I77" s="69"/>
      <c r="J77" s="53">
        <f>+(F77-E77)*$O$74</f>
        <v>0</v>
      </c>
      <c r="K77" s="58"/>
      <c r="L77" s="58"/>
      <c r="M77" s="74"/>
      <c r="N77" s="72">
        <v>7296226.4150943384</v>
      </c>
      <c r="O77" s="75">
        <f>+N77-N78</f>
        <v>7019296.6383545632</v>
      </c>
      <c r="P77" s="75"/>
      <c r="R77" s="77"/>
    </row>
    <row r="78" spans="1:19" s="76" customFormat="1" ht="18" customHeight="1" x14ac:dyDescent="0.25">
      <c r="A78" s="11">
        <v>4</v>
      </c>
      <c r="B78" s="572" t="s">
        <v>82</v>
      </c>
      <c r="C78" s="572"/>
      <c r="D78" s="62" t="s">
        <v>56</v>
      </c>
      <c r="E78" s="78">
        <v>0.11899999999999999</v>
      </c>
      <c r="F78" s="57">
        <f>+G78/$O$73</f>
        <v>0.11818280042354262</v>
      </c>
      <c r="G78" s="559">
        <f>+[3]T4!$I$324</f>
        <v>24610.799999999999</v>
      </c>
      <c r="H78" s="560"/>
      <c r="I78" s="69">
        <f t="shared" ref="I78" si="86">+(E78-F78)*$O$73</f>
        <v>170.17650000000086</v>
      </c>
      <c r="J78" s="53">
        <f t="shared" si="85"/>
        <v>0</v>
      </c>
      <c r="K78" s="58"/>
      <c r="L78" s="58"/>
      <c r="M78" s="74"/>
      <c r="N78" s="75">
        <v>276929.77673977503</v>
      </c>
      <c r="O78" s="75"/>
      <c r="P78" s="75"/>
      <c r="R78" s="77"/>
    </row>
    <row r="79" spans="1:19" ht="18" customHeight="1" x14ac:dyDescent="0.25">
      <c r="A79" s="11">
        <v>5</v>
      </c>
      <c r="B79" s="638" t="s">
        <v>83</v>
      </c>
      <c r="C79" s="639"/>
      <c r="D79" s="62" t="s">
        <v>62</v>
      </c>
      <c r="E79" s="63">
        <v>0.66900000000000004</v>
      </c>
      <c r="F79" s="57">
        <f t="shared" ref="F79:F85" si="87">+G79/$O$72</f>
        <v>0.66863071356368864</v>
      </c>
      <c r="G79" s="574">
        <f>+[3]T4!$P$424</f>
        <v>139238</v>
      </c>
      <c r="H79" s="575"/>
      <c r="I79" s="69">
        <f t="shared" ref="I79:I85" si="88">+(E79-F79)*$O$72</f>
        <v>76.901500000013058</v>
      </c>
      <c r="J79" s="53">
        <f t="shared" si="85"/>
        <v>0</v>
      </c>
      <c r="K79" s="58"/>
      <c r="L79" s="58"/>
      <c r="M79" s="59"/>
      <c r="N79" s="71">
        <v>231300</v>
      </c>
      <c r="O79" s="6"/>
      <c r="R79" s="46"/>
    </row>
    <row r="80" spans="1:19" ht="18" customHeight="1" x14ac:dyDescent="0.25">
      <c r="A80" s="11">
        <v>6</v>
      </c>
      <c r="B80" s="638" t="s">
        <v>84</v>
      </c>
      <c r="C80" s="639"/>
      <c r="D80" s="62" t="s">
        <v>56</v>
      </c>
      <c r="E80" s="63">
        <v>0.02</v>
      </c>
      <c r="F80" s="57">
        <f t="shared" si="87"/>
        <v>1.4286160192274909E-2</v>
      </c>
      <c r="G80" s="559">
        <f>+[3]T4!$I$412</f>
        <v>2975</v>
      </c>
      <c r="H80" s="560"/>
      <c r="I80" s="69">
        <f t="shared" si="88"/>
        <v>1189.8700000000001</v>
      </c>
      <c r="J80" s="53">
        <f t="shared" si="85"/>
        <v>0</v>
      </c>
      <c r="K80" s="58"/>
      <c r="L80" s="58"/>
      <c r="M80" s="59"/>
      <c r="O80" s="45"/>
      <c r="P80" s="79"/>
      <c r="R80" s="46"/>
    </row>
    <row r="81" spans="1:18" ht="18" customHeight="1" x14ac:dyDescent="0.25">
      <c r="A81" s="11">
        <v>7</v>
      </c>
      <c r="B81" s="638" t="s">
        <v>64</v>
      </c>
      <c r="C81" s="639"/>
      <c r="D81" s="62" t="s">
        <v>56</v>
      </c>
      <c r="E81" s="158">
        <v>2.01E-2</v>
      </c>
      <c r="F81" s="66">
        <f t="shared" si="87"/>
        <v>1.2360529860475837E-2</v>
      </c>
      <c r="G81" s="559">
        <f>+[3]T4!$I$418</f>
        <v>2574</v>
      </c>
      <c r="H81" s="560"/>
      <c r="I81" s="69">
        <f t="shared" si="88"/>
        <v>1611.69435</v>
      </c>
      <c r="J81" s="53">
        <f t="shared" si="85"/>
        <v>0</v>
      </c>
      <c r="K81" s="58"/>
      <c r="L81" s="58"/>
      <c r="M81" s="59"/>
      <c r="N81" s="64"/>
      <c r="O81" s="45"/>
      <c r="R81" s="46"/>
    </row>
    <row r="82" spans="1:18" ht="18" customHeight="1" x14ac:dyDescent="0.25">
      <c r="A82" s="11">
        <v>8</v>
      </c>
      <c r="B82" s="638" t="s">
        <v>65</v>
      </c>
      <c r="C82" s="639"/>
      <c r="D82" s="62" t="s">
        <v>56</v>
      </c>
      <c r="E82" s="32">
        <v>1.84</v>
      </c>
      <c r="F82" s="51">
        <f t="shared" si="87"/>
        <v>1.7761802889405911</v>
      </c>
      <c r="G82" s="574">
        <f>+[3]T4!$I$361</f>
        <v>369878</v>
      </c>
      <c r="H82" s="575"/>
      <c r="I82" s="69">
        <f t="shared" si="88"/>
        <v>13290.040000000034</v>
      </c>
      <c r="J82" s="80">
        <v>0</v>
      </c>
      <c r="K82" s="589"/>
      <c r="L82" s="590"/>
      <c r="M82" s="591"/>
      <c r="N82" s="81"/>
      <c r="O82" s="6"/>
      <c r="R82" s="46"/>
    </row>
    <row r="83" spans="1:18" ht="18" customHeight="1" x14ac:dyDescent="0.25">
      <c r="A83" s="11">
        <v>9</v>
      </c>
      <c r="B83" s="638" t="s">
        <v>67</v>
      </c>
      <c r="C83" s="639"/>
      <c r="D83" s="62" t="s">
        <v>56</v>
      </c>
      <c r="E83" s="158">
        <v>7.6E-3</v>
      </c>
      <c r="F83" s="66">
        <f t="shared" si="87"/>
        <v>7.4912302184702044E-3</v>
      </c>
      <c r="G83" s="559">
        <f>+[3]T4!$I$419</f>
        <v>1560</v>
      </c>
      <c r="H83" s="560"/>
      <c r="I83" s="69">
        <f t="shared" si="88"/>
        <v>22.650599999999994</v>
      </c>
      <c r="J83" s="53">
        <f t="shared" si="85"/>
        <v>0</v>
      </c>
      <c r="K83" s="58"/>
      <c r="L83" s="58"/>
      <c r="M83" s="59"/>
      <c r="N83" s="64"/>
      <c r="O83" s="45"/>
      <c r="R83" s="46"/>
    </row>
    <row r="84" spans="1:18" ht="18" customHeight="1" x14ac:dyDescent="0.25">
      <c r="A84" s="11">
        <v>10</v>
      </c>
      <c r="B84" s="638" t="s">
        <v>68</v>
      </c>
      <c r="C84" s="639"/>
      <c r="D84" s="62" t="s">
        <v>62</v>
      </c>
      <c r="E84" s="63">
        <v>4.2999999999999997E-2</v>
      </c>
      <c r="F84" s="57">
        <f t="shared" si="87"/>
        <v>4.1778014679929983E-2</v>
      </c>
      <c r="G84" s="559">
        <f>+[3]T4!$I$415</f>
        <v>8700</v>
      </c>
      <c r="H84" s="560"/>
      <c r="I84" s="69">
        <f t="shared" si="88"/>
        <v>254.47049999999996</v>
      </c>
      <c r="J84" s="53">
        <f t="shared" si="85"/>
        <v>0</v>
      </c>
      <c r="K84" s="586"/>
      <c r="L84" s="587"/>
      <c r="M84" s="59"/>
      <c r="N84" s="64"/>
      <c r="O84" s="45"/>
      <c r="R84" s="46">
        <f>+O84-H84</f>
        <v>0</v>
      </c>
    </row>
    <row r="85" spans="1:18" ht="18" customHeight="1" x14ac:dyDescent="0.25">
      <c r="A85" s="11">
        <v>11</v>
      </c>
      <c r="B85" s="638" t="s">
        <v>69</v>
      </c>
      <c r="C85" s="639"/>
      <c r="D85" s="62" t="s">
        <v>62</v>
      </c>
      <c r="E85" s="158">
        <v>1.0699999999999999E-2</v>
      </c>
      <c r="F85" s="57">
        <f t="shared" si="87"/>
        <v>1.1188824621176652E-2</v>
      </c>
      <c r="G85" s="559">
        <f>+[3]T4!$I$413</f>
        <v>2330</v>
      </c>
      <c r="H85" s="560"/>
      <c r="I85" s="69">
        <f t="shared" si="88"/>
        <v>-101.7945500000002</v>
      </c>
      <c r="J85" s="53">
        <f>+(F85-E85)*$O$74</f>
        <v>0</v>
      </c>
      <c r="K85" s="586" t="s">
        <v>86</v>
      </c>
      <c r="L85" s="587"/>
      <c r="M85" s="59"/>
      <c r="N85" s="64"/>
      <c r="O85" s="45"/>
      <c r="R85" s="46">
        <f>+O85-H85</f>
        <v>0</v>
      </c>
    </row>
    <row r="86" spans="1:18" ht="18" customHeight="1" x14ac:dyDescent="0.25">
      <c r="A86" s="11">
        <v>12</v>
      </c>
      <c r="B86" s="638" t="s">
        <v>71</v>
      </c>
      <c r="C86" s="639"/>
      <c r="D86" s="62" t="s">
        <v>62</v>
      </c>
      <c r="E86" s="63">
        <v>0.06</v>
      </c>
      <c r="F86" s="57">
        <f>+G86/$O$72</f>
        <v>4.1177755848321798E-2</v>
      </c>
      <c r="G86" s="574">
        <f>+[3]T4!$I$336</f>
        <v>8575</v>
      </c>
      <c r="H86" s="575"/>
      <c r="I86" s="69">
        <f>+(E86-F86)*$O$72</f>
        <v>3919.6099999999992</v>
      </c>
      <c r="J86" s="53">
        <f>+(F86-E86)*$O$74</f>
        <v>0</v>
      </c>
      <c r="K86" s="588"/>
      <c r="L86" s="576"/>
      <c r="M86" s="577"/>
      <c r="O86" s="45"/>
      <c r="R86" s="46"/>
    </row>
    <row r="87" spans="1:18" ht="22.5" hidden="1" customHeight="1" x14ac:dyDescent="0.25">
      <c r="A87" s="11">
        <v>15</v>
      </c>
      <c r="B87" s="638" t="s">
        <v>87</v>
      </c>
      <c r="C87" s="639"/>
      <c r="D87" s="62" t="s">
        <v>56</v>
      </c>
      <c r="E87" s="158">
        <v>2.0999999999999999E-3</v>
      </c>
      <c r="F87" s="66">
        <f>+G87/$O$72</f>
        <v>0</v>
      </c>
      <c r="G87" s="574"/>
      <c r="H87" s="575"/>
      <c r="I87" s="69">
        <v>0</v>
      </c>
      <c r="J87" s="53">
        <f t="shared" ref="J87:J89" si="89">+(F87-E87)*$O$74</f>
        <v>0</v>
      </c>
      <c r="K87" s="67"/>
      <c r="L87" s="67"/>
      <c r="M87" s="68"/>
      <c r="O87" s="45"/>
      <c r="R87" s="46"/>
    </row>
    <row r="88" spans="1:18" ht="18.75" customHeight="1" x14ac:dyDescent="0.25">
      <c r="A88" s="11">
        <v>13</v>
      </c>
      <c r="B88" s="638" t="s">
        <v>88</v>
      </c>
      <c r="C88" s="639"/>
      <c r="D88" s="62" t="s">
        <v>56</v>
      </c>
      <c r="E88" s="158">
        <v>1.2999999999999999E-3</v>
      </c>
      <c r="F88" s="66">
        <f>+G88/$O$72</f>
        <v>1.2005176632163789E-3</v>
      </c>
      <c r="G88" s="574">
        <f>+[3]T4!$I$337</f>
        <v>250</v>
      </c>
      <c r="H88" s="575"/>
      <c r="I88" s="69">
        <f t="shared" ref="I88:I89" si="90">+(E88-F88)*$O$72</f>
        <v>20.716549999999998</v>
      </c>
      <c r="J88" s="53">
        <f t="shared" si="89"/>
        <v>0</v>
      </c>
      <c r="K88" s="67"/>
      <c r="L88" s="67"/>
      <c r="M88" s="68"/>
      <c r="O88" s="45"/>
      <c r="R88" s="46"/>
    </row>
    <row r="89" spans="1:18" ht="22.5" hidden="1" customHeight="1" x14ac:dyDescent="0.25">
      <c r="A89" s="11">
        <v>13</v>
      </c>
      <c r="B89" s="638" t="s">
        <v>72</v>
      </c>
      <c r="C89" s="639"/>
      <c r="D89" s="62" t="s">
        <v>56</v>
      </c>
      <c r="E89" s="158">
        <v>2.0999999999999999E-3</v>
      </c>
      <c r="F89" s="66">
        <f>+G89/$O$72</f>
        <v>0</v>
      </c>
      <c r="G89" s="574"/>
      <c r="H89" s="575"/>
      <c r="I89" s="69">
        <f t="shared" si="90"/>
        <v>437.31134999999995</v>
      </c>
      <c r="J89" s="53">
        <f t="shared" si="89"/>
        <v>0</v>
      </c>
      <c r="K89" s="67"/>
      <c r="L89" s="67"/>
      <c r="M89" s="68"/>
      <c r="O89" s="45"/>
      <c r="R89" s="46"/>
    </row>
    <row r="90" spans="1:18" ht="18" customHeight="1" x14ac:dyDescent="0.25">
      <c r="A90" s="2" t="s">
        <v>46</v>
      </c>
      <c r="B90" s="39"/>
      <c r="C90" s="39"/>
      <c r="D90" s="39"/>
      <c r="E90" s="40"/>
      <c r="F90" s="41"/>
      <c r="G90" s="42"/>
      <c r="H90" s="42"/>
      <c r="I90" s="43"/>
      <c r="J90" s="44"/>
      <c r="K90" s="2"/>
      <c r="L90" s="2"/>
      <c r="M90" s="7"/>
      <c r="N90" t="s">
        <v>181</v>
      </c>
      <c r="O90" s="45"/>
      <c r="R90" s="46"/>
    </row>
    <row r="91" spans="1:18" ht="30" customHeight="1" x14ac:dyDescent="0.25">
      <c r="A91" s="9" t="s">
        <v>47</v>
      </c>
      <c r="B91" s="524" t="s">
        <v>48</v>
      </c>
      <c r="C91" s="524"/>
      <c r="D91" s="9" t="s">
        <v>17</v>
      </c>
      <c r="E91" s="9" t="s">
        <v>49</v>
      </c>
      <c r="F91" s="9" t="s">
        <v>50</v>
      </c>
      <c r="G91" s="528" t="s">
        <v>51</v>
      </c>
      <c r="H91" s="529"/>
      <c r="I91" s="9" t="s">
        <v>52</v>
      </c>
      <c r="J91" s="9" t="s">
        <v>53</v>
      </c>
      <c r="K91" s="528" t="s">
        <v>35</v>
      </c>
      <c r="L91" s="557"/>
      <c r="M91" s="529"/>
      <c r="N91" s="47" t="s">
        <v>54</v>
      </c>
      <c r="O91" s="48">
        <f>+O92+O93</f>
        <v>224734.40000000002</v>
      </c>
      <c r="P91" s="47" t="s">
        <v>13</v>
      </c>
      <c r="Q91" s="47">
        <f>+Q92+Q93</f>
        <v>1280</v>
      </c>
      <c r="R91" s="46"/>
    </row>
    <row r="92" spans="1:18" ht="27.75" customHeight="1" x14ac:dyDescent="0.25">
      <c r="A92" s="11">
        <v>1</v>
      </c>
      <c r="B92" s="572" t="s">
        <v>55</v>
      </c>
      <c r="C92" s="572"/>
      <c r="D92" s="62" t="s">
        <v>56</v>
      </c>
      <c r="E92" s="32">
        <v>21.01</v>
      </c>
      <c r="F92" s="51">
        <f>+G92/$O$91</f>
        <v>20.175008142945625</v>
      </c>
      <c r="G92" s="559">
        <f>+[3]T4!$I$121</f>
        <v>4534018.3499999996</v>
      </c>
      <c r="H92" s="560"/>
      <c r="I92" s="159">
        <f>+(E92-F92)*$O$91</f>
        <v>187651.39400000108</v>
      </c>
      <c r="J92" s="53">
        <v>0</v>
      </c>
      <c r="K92" s="561" t="s">
        <v>182</v>
      </c>
      <c r="L92" s="562"/>
      <c r="M92" s="563"/>
      <c r="N92" s="54" t="s">
        <v>58</v>
      </c>
      <c r="O92" s="55">
        <v>224734.40000000002</v>
      </c>
      <c r="P92" s="55"/>
      <c r="Q92" s="55">
        <v>1280</v>
      </c>
      <c r="R92" s="46"/>
    </row>
    <row r="93" spans="1:18" ht="15.75" customHeight="1" x14ac:dyDescent="0.25">
      <c r="A93" s="11">
        <v>2</v>
      </c>
      <c r="B93" s="572" t="s">
        <v>59</v>
      </c>
      <c r="C93" s="572"/>
      <c r="D93" s="62" t="s">
        <v>56</v>
      </c>
      <c r="E93" s="63">
        <v>0.48299999999999998</v>
      </c>
      <c r="F93" s="51">
        <f t="shared" ref="F93:F103" si="91">+G93/$O$91</f>
        <v>0.45274420827430067</v>
      </c>
      <c r="G93" s="559">
        <f>+[3]T4!$I$202</f>
        <v>101747.198</v>
      </c>
      <c r="H93" s="560"/>
      <c r="I93" s="52">
        <f>+(E93-F93)*$O$91</f>
        <v>6799.5172000000002</v>
      </c>
      <c r="J93" s="53">
        <v>0</v>
      </c>
      <c r="K93" s="58"/>
      <c r="L93" s="58"/>
      <c r="M93" s="59"/>
      <c r="N93" s="54"/>
      <c r="O93" s="55"/>
      <c r="P93" s="55"/>
      <c r="Q93" s="60"/>
      <c r="R93" s="46"/>
    </row>
    <row r="94" spans="1:18" ht="15.75" customHeight="1" x14ac:dyDescent="0.25">
      <c r="A94" s="11">
        <v>3</v>
      </c>
      <c r="B94" s="572" t="s">
        <v>60</v>
      </c>
      <c r="C94" s="572"/>
      <c r="D94" s="62" t="s">
        <v>56</v>
      </c>
      <c r="E94" s="63">
        <v>0.54</v>
      </c>
      <c r="F94" s="51">
        <f t="shared" si="91"/>
        <v>0.49637023526438323</v>
      </c>
      <c r="G94" s="559">
        <f>+[3]T4!$I$314</f>
        <v>111551.46700000002</v>
      </c>
      <c r="H94" s="560"/>
      <c r="I94" s="52">
        <f t="shared" ref="I94:I103" si="92">+(E94-F94)*$O$91</f>
        <v>9805.1090000000022</v>
      </c>
      <c r="J94" s="53"/>
      <c r="K94" s="58"/>
      <c r="L94" s="58"/>
      <c r="M94" s="61"/>
      <c r="O94" s="45"/>
      <c r="R94" s="46"/>
    </row>
    <row r="95" spans="1:18" ht="15.75" customHeight="1" x14ac:dyDescent="0.25">
      <c r="A95" s="11">
        <v>4</v>
      </c>
      <c r="B95" s="572" t="s">
        <v>61</v>
      </c>
      <c r="C95" s="572"/>
      <c r="D95" s="62" t="s">
        <v>62</v>
      </c>
      <c r="E95" s="63">
        <v>0.627</v>
      </c>
      <c r="F95" s="51">
        <f t="shared" si="91"/>
        <v>0.62718480125873022</v>
      </c>
      <c r="G95" s="559">
        <f>+[3]T4!$O$443</f>
        <v>140950</v>
      </c>
      <c r="H95" s="560"/>
      <c r="I95" s="52">
        <v>0</v>
      </c>
      <c r="J95" s="53">
        <f t="shared" ref="J95:J102" si="93">+(F95-E95)*$O$91</f>
        <v>41.53119999997989</v>
      </c>
      <c r="K95" s="570"/>
      <c r="L95" s="571"/>
      <c r="M95" s="551"/>
      <c r="N95" s="64"/>
      <c r="O95" s="458"/>
      <c r="P95" s="459"/>
      <c r="R95" s="46"/>
    </row>
    <row r="96" spans="1:18" ht="15.75" customHeight="1" x14ac:dyDescent="0.25">
      <c r="A96" s="11">
        <v>5</v>
      </c>
      <c r="B96" s="572" t="s">
        <v>63</v>
      </c>
      <c r="C96" s="572"/>
      <c r="D96" s="62" t="s">
        <v>56</v>
      </c>
      <c r="E96" s="63">
        <v>2.5000000000000001E-2</v>
      </c>
      <c r="F96" s="51">
        <f t="shared" si="91"/>
        <v>2.4540079311400478E-2</v>
      </c>
      <c r="G96" s="559">
        <f>+[3]T4!$I$432</f>
        <v>5515</v>
      </c>
      <c r="H96" s="560"/>
      <c r="I96" s="52">
        <f t="shared" si="92"/>
        <v>103.36000000000081</v>
      </c>
      <c r="J96" s="53">
        <v>0</v>
      </c>
      <c r="K96" s="570"/>
      <c r="L96" s="571"/>
      <c r="M96" s="551"/>
      <c r="N96" s="64"/>
      <c r="O96" s="45"/>
      <c r="R96" s="46"/>
    </row>
    <row r="97" spans="1:18" ht="15.75" customHeight="1" x14ac:dyDescent="0.25">
      <c r="A97" s="11">
        <v>6</v>
      </c>
      <c r="B97" s="572" t="s">
        <v>64</v>
      </c>
      <c r="C97" s="572"/>
      <c r="D97" s="62" t="s">
        <v>56</v>
      </c>
      <c r="E97" s="158">
        <v>1.09E-2</v>
      </c>
      <c r="F97" s="57">
        <f t="shared" si="91"/>
        <v>1.0652574772709473E-2</v>
      </c>
      <c r="G97" s="559">
        <f>+[3]T4!$I$437</f>
        <v>2394</v>
      </c>
      <c r="H97" s="560"/>
      <c r="I97" s="52">
        <v>0</v>
      </c>
      <c r="J97" s="53">
        <f>+(F97-E97)*$O$91</f>
        <v>-55.604960000000318</v>
      </c>
      <c r="K97" s="58"/>
      <c r="L97" s="58"/>
      <c r="M97" s="59"/>
      <c r="O97" s="45"/>
      <c r="R97" s="46"/>
    </row>
    <row r="98" spans="1:18" ht="15.75" customHeight="1" x14ac:dyDescent="0.25">
      <c r="A98" s="11">
        <v>7</v>
      </c>
      <c r="B98" s="572" t="s">
        <v>65</v>
      </c>
      <c r="C98" s="572"/>
      <c r="D98" s="62" t="s">
        <v>56</v>
      </c>
      <c r="E98" s="32">
        <v>1.79</v>
      </c>
      <c r="F98" s="51">
        <f t="shared" si="91"/>
        <v>1.7681872468122368</v>
      </c>
      <c r="G98" s="578">
        <f>+[3]T4!$I$364</f>
        <v>397372.5</v>
      </c>
      <c r="H98" s="579"/>
      <c r="I98" s="52">
        <f t="shared" si="92"/>
        <v>4902.0760000000537</v>
      </c>
      <c r="J98" s="53">
        <v>0</v>
      </c>
      <c r="K98" s="580"/>
      <c r="L98" s="581"/>
      <c r="M98" s="582"/>
      <c r="O98" s="45"/>
      <c r="R98" s="46"/>
    </row>
    <row r="99" spans="1:18" ht="15.75" customHeight="1" x14ac:dyDescent="0.25">
      <c r="A99" s="11">
        <v>8</v>
      </c>
      <c r="B99" s="572" t="s">
        <v>67</v>
      </c>
      <c r="C99" s="572"/>
      <c r="D99" s="62" t="s">
        <v>56</v>
      </c>
      <c r="E99" s="158">
        <v>8.2000000000000007E-3</v>
      </c>
      <c r="F99" s="66">
        <f t="shared" si="91"/>
        <v>8.0094547163229116E-3</v>
      </c>
      <c r="G99" s="559">
        <f>+[3]T4!$I$438</f>
        <v>1800</v>
      </c>
      <c r="H99" s="560"/>
      <c r="I99" s="52">
        <f t="shared" si="92"/>
        <v>42.822080000000412</v>
      </c>
      <c r="J99" s="53">
        <v>0</v>
      </c>
      <c r="K99" s="58"/>
      <c r="L99" s="58"/>
      <c r="M99" s="59"/>
      <c r="O99" s="6"/>
      <c r="R99" s="46"/>
    </row>
    <row r="100" spans="1:18" ht="15.75" customHeight="1" x14ac:dyDescent="0.25">
      <c r="A100" s="11">
        <v>9</v>
      </c>
      <c r="B100" s="572" t="s">
        <v>68</v>
      </c>
      <c r="C100" s="572"/>
      <c r="D100" s="62" t="s">
        <v>62</v>
      </c>
      <c r="E100" s="63">
        <v>6.4000000000000001E-2</v>
      </c>
      <c r="F100" s="57">
        <f t="shared" si="91"/>
        <v>6.3630668024120915E-2</v>
      </c>
      <c r="G100" s="559">
        <f>+[3]T4!$I$435</f>
        <v>14300</v>
      </c>
      <c r="H100" s="560"/>
      <c r="I100" s="52">
        <f t="shared" si="92"/>
        <v>83.001600000000963</v>
      </c>
      <c r="J100" s="53">
        <v>0</v>
      </c>
      <c r="K100" s="58"/>
      <c r="L100" s="58"/>
      <c r="M100" s="59"/>
      <c r="O100" s="45"/>
      <c r="R100" s="46"/>
    </row>
    <row r="101" spans="1:18" ht="15.75" customHeight="1" x14ac:dyDescent="0.25">
      <c r="A101" s="11">
        <v>10</v>
      </c>
      <c r="B101" s="572" t="s">
        <v>69</v>
      </c>
      <c r="C101" s="572"/>
      <c r="D101" s="62" t="s">
        <v>62</v>
      </c>
      <c r="E101" s="158">
        <v>1.5900000000000001E-2</v>
      </c>
      <c r="F101" s="66">
        <f t="shared" si="91"/>
        <v>1.6908848845570593E-2</v>
      </c>
      <c r="G101" s="559">
        <f>+[3]T4!$I$433</f>
        <v>3800</v>
      </c>
      <c r="H101" s="560"/>
      <c r="I101" s="52">
        <v>0</v>
      </c>
      <c r="J101" s="53">
        <f t="shared" si="93"/>
        <v>226.72303999999977</v>
      </c>
      <c r="K101" s="573" t="s">
        <v>70</v>
      </c>
      <c r="L101" s="573"/>
      <c r="M101" s="59"/>
      <c r="N101" s="64"/>
      <c r="O101" s="45"/>
      <c r="R101" s="46"/>
    </row>
    <row r="102" spans="1:18" ht="15.75" customHeight="1" x14ac:dyDescent="0.25">
      <c r="A102" s="11">
        <v>11</v>
      </c>
      <c r="B102" s="572" t="s">
        <v>71</v>
      </c>
      <c r="C102" s="572"/>
      <c r="D102" s="62" t="s">
        <v>56</v>
      </c>
      <c r="E102" s="63">
        <v>4.8000000000000001E-2</v>
      </c>
      <c r="F102" s="57">
        <f t="shared" si="91"/>
        <v>5.8958486106265882E-2</v>
      </c>
      <c r="G102" s="574">
        <f>+[3]T4!$I$340</f>
        <v>13250</v>
      </c>
      <c r="H102" s="575"/>
      <c r="I102" s="52">
        <v>0</v>
      </c>
      <c r="J102" s="53">
        <f t="shared" si="93"/>
        <v>2462.7487999999994</v>
      </c>
      <c r="K102" s="561"/>
      <c r="L102" s="576"/>
      <c r="M102" s="577"/>
      <c r="O102" s="45"/>
      <c r="R102" s="46"/>
    </row>
    <row r="103" spans="1:18" ht="15.75" customHeight="1" x14ac:dyDescent="0.25">
      <c r="A103" s="11">
        <v>12</v>
      </c>
      <c r="B103" s="638" t="s">
        <v>72</v>
      </c>
      <c r="C103" s="639"/>
      <c r="D103" s="62" t="s">
        <v>56</v>
      </c>
      <c r="E103" s="158">
        <v>2.7000000000000001E-3</v>
      </c>
      <c r="F103" s="66">
        <f t="shared" si="91"/>
        <v>2.4473333855431121E-3</v>
      </c>
      <c r="G103" s="574">
        <f>+[3]T4!$I$341</f>
        <v>550</v>
      </c>
      <c r="H103" s="575"/>
      <c r="I103" s="52">
        <f t="shared" si="92"/>
        <v>56.78288000000007</v>
      </c>
      <c r="J103" s="53">
        <v>0</v>
      </c>
      <c r="K103" s="67"/>
      <c r="L103" s="67"/>
      <c r="M103" s="68"/>
      <c r="O103" s="45"/>
      <c r="R103" s="46"/>
    </row>
    <row r="104" spans="1:18" s="38" customFormat="1" ht="18.75" customHeight="1" x14ac:dyDescent="0.25">
      <c r="A104" s="82" t="s">
        <v>183</v>
      </c>
      <c r="B104" s="7"/>
      <c r="C104" s="7"/>
      <c r="D104" s="7"/>
      <c r="E104" s="7"/>
      <c r="F104" s="7"/>
      <c r="G104" s="83"/>
      <c r="H104" s="5"/>
      <c r="I104" s="6"/>
      <c r="J104" s="7"/>
      <c r="K104" s="7"/>
      <c r="L104" s="7"/>
      <c r="M104" s="7"/>
    </row>
    <row r="105" spans="1:18" s="86" customFormat="1" ht="16.5" customHeight="1" x14ac:dyDescent="0.25">
      <c r="A105" s="592" t="s">
        <v>184</v>
      </c>
      <c r="B105" s="592"/>
      <c r="C105" s="592"/>
      <c r="D105" s="592"/>
      <c r="E105" s="592"/>
      <c r="F105" s="84"/>
      <c r="G105" s="84"/>
      <c r="H105" s="85"/>
      <c r="I105" s="85"/>
      <c r="J105" s="84"/>
      <c r="K105" s="84"/>
      <c r="L105" s="84"/>
      <c r="M105" s="84"/>
    </row>
    <row r="106" spans="1:18" s="38" customFormat="1" ht="13.5" customHeight="1" x14ac:dyDescent="0.25">
      <c r="A106" s="87"/>
      <c r="B106" s="7"/>
      <c r="C106" s="7"/>
      <c r="D106" s="7"/>
      <c r="E106" s="7"/>
      <c r="F106" s="7"/>
      <c r="G106" s="7"/>
      <c r="H106" s="5"/>
      <c r="I106" s="6"/>
      <c r="J106" s="7"/>
      <c r="K106" s="7"/>
      <c r="L106" s="7"/>
      <c r="M106" s="7"/>
    </row>
    <row r="107" spans="1:18" s="38" customFormat="1" ht="18.75" customHeight="1" x14ac:dyDescent="0.25">
      <c r="A107" s="87"/>
      <c r="B107" s="7"/>
      <c r="C107" s="7"/>
      <c r="D107" s="7"/>
      <c r="E107" s="7"/>
      <c r="F107" s="7"/>
      <c r="G107" s="7"/>
      <c r="H107" s="5"/>
      <c r="I107" s="6"/>
      <c r="J107" s="7"/>
      <c r="K107" s="7"/>
      <c r="L107" s="7"/>
      <c r="M107" s="7"/>
    </row>
    <row r="108" spans="1:18" s="38" customFormat="1" ht="18.75" customHeight="1" x14ac:dyDescent="0.25">
      <c r="A108" s="87"/>
      <c r="B108" s="7"/>
      <c r="C108" s="7"/>
      <c r="D108" s="7"/>
      <c r="E108" s="7"/>
      <c r="F108" s="7"/>
      <c r="G108" s="7"/>
      <c r="H108" s="5"/>
      <c r="I108" s="6"/>
      <c r="J108" s="7"/>
      <c r="K108" s="7"/>
      <c r="L108" s="7"/>
      <c r="M108" s="7"/>
    </row>
    <row r="109" spans="1:18" s="38" customFormat="1" ht="18.75" customHeight="1" x14ac:dyDescent="0.25">
      <c r="A109" s="87"/>
      <c r="B109" s="7"/>
      <c r="C109" s="7"/>
      <c r="D109" s="7"/>
      <c r="E109" s="7"/>
      <c r="F109" s="7"/>
      <c r="G109" s="7"/>
      <c r="H109" s="5"/>
      <c r="I109" s="6"/>
      <c r="J109" s="7"/>
      <c r="K109" s="7"/>
      <c r="L109" s="7"/>
      <c r="M109" s="7"/>
    </row>
    <row r="110" spans="1:18" s="38" customFormat="1" ht="18.75" customHeight="1" x14ac:dyDescent="0.25">
      <c r="A110" s="87"/>
      <c r="B110" s="7"/>
      <c r="C110" s="7"/>
      <c r="D110" s="7"/>
      <c r="E110" s="7"/>
      <c r="F110" s="7"/>
      <c r="G110" s="7"/>
      <c r="H110" s="5"/>
      <c r="I110" s="6"/>
      <c r="J110" s="7"/>
      <c r="K110" s="7"/>
      <c r="L110" s="7"/>
      <c r="M110" s="7"/>
    </row>
    <row r="111" spans="1:18" s="38" customFormat="1" ht="18.75" customHeight="1" x14ac:dyDescent="0.25">
      <c r="A111" s="87"/>
      <c r="B111" s="7"/>
      <c r="C111" s="7"/>
      <c r="D111" s="7"/>
      <c r="E111" s="7"/>
      <c r="F111" s="7"/>
      <c r="G111" s="7"/>
      <c r="H111" s="5"/>
      <c r="I111" s="6"/>
      <c r="J111" s="7"/>
      <c r="K111" s="7"/>
      <c r="L111" s="7"/>
      <c r="M111" s="7"/>
    </row>
    <row r="112" spans="1:18" s="38" customFormat="1" ht="18.75" customHeight="1" x14ac:dyDescent="0.25">
      <c r="A112" s="87"/>
      <c r="B112" s="7"/>
      <c r="C112" s="7"/>
      <c r="D112" s="7"/>
      <c r="E112" s="7"/>
      <c r="F112" s="7"/>
      <c r="G112" s="7"/>
      <c r="H112" s="5"/>
      <c r="I112" s="6"/>
      <c r="J112" s="7"/>
      <c r="K112" s="7"/>
      <c r="L112" s="7"/>
      <c r="M112" s="7"/>
    </row>
    <row r="113" spans="1:18" s="38" customFormat="1" ht="12" customHeight="1" x14ac:dyDescent="0.25">
      <c r="A113" s="87"/>
      <c r="B113" s="7"/>
      <c r="C113" s="7"/>
      <c r="D113" s="7"/>
      <c r="E113" s="7"/>
      <c r="F113" s="7"/>
      <c r="G113" s="7"/>
      <c r="H113" s="5"/>
      <c r="I113" s="6"/>
      <c r="J113" s="7"/>
      <c r="K113" s="7"/>
      <c r="L113" s="7"/>
      <c r="M113" s="7"/>
    </row>
    <row r="114" spans="1:18" s="38" customFormat="1" ht="18.75" customHeight="1" x14ac:dyDescent="0.25">
      <c r="A114" s="87" t="s">
        <v>185</v>
      </c>
      <c r="B114" s="7"/>
      <c r="C114" s="7"/>
      <c r="D114" s="7"/>
      <c r="E114" s="7"/>
      <c r="F114" s="7"/>
      <c r="G114" s="7"/>
      <c r="H114" s="5"/>
      <c r="I114" s="6"/>
      <c r="J114" s="7"/>
      <c r="K114" s="7"/>
      <c r="L114" s="7"/>
      <c r="M114" s="7"/>
    </row>
    <row r="115" spans="1:18" s="38" customFormat="1" ht="33.75" customHeight="1" x14ac:dyDescent="0.25">
      <c r="A115" s="88"/>
      <c r="B115" s="7"/>
      <c r="C115" s="7"/>
      <c r="D115" s="7"/>
      <c r="E115" s="7"/>
      <c r="F115" s="7"/>
      <c r="G115" s="7"/>
      <c r="H115" s="5"/>
      <c r="I115" s="6"/>
      <c r="J115" s="7"/>
      <c r="K115" s="7"/>
      <c r="L115" s="7"/>
      <c r="M115" s="7"/>
    </row>
    <row r="116" spans="1:18" s="38" customFormat="1" ht="27.75" customHeight="1" x14ac:dyDescent="0.25">
      <c r="A116" s="88"/>
      <c r="B116" s="7"/>
      <c r="C116" s="7"/>
      <c r="D116" s="7"/>
      <c r="E116" s="7"/>
      <c r="F116" s="7"/>
      <c r="G116" s="7"/>
      <c r="H116" s="5"/>
      <c r="I116" s="6"/>
      <c r="J116" s="7"/>
      <c r="K116" s="7"/>
      <c r="L116" s="7"/>
      <c r="M116" s="7"/>
    </row>
    <row r="117" spans="1:18" s="38" customFormat="1" ht="27.75" customHeight="1" x14ac:dyDescent="0.25">
      <c r="A117" s="88"/>
      <c r="B117" s="7"/>
      <c r="C117" s="7"/>
      <c r="D117" s="7"/>
      <c r="E117" s="7"/>
      <c r="F117" s="7"/>
      <c r="G117" s="7"/>
      <c r="H117" s="5"/>
      <c r="I117" s="6"/>
      <c r="J117" s="7"/>
      <c r="K117" s="7"/>
      <c r="L117" s="7"/>
      <c r="M117" s="7"/>
    </row>
    <row r="118" spans="1:18" s="38" customFormat="1" ht="27.75" customHeight="1" x14ac:dyDescent="0.25">
      <c r="A118" s="88"/>
      <c r="B118" s="7"/>
      <c r="C118" s="7"/>
      <c r="D118" s="7"/>
      <c r="E118" s="7"/>
      <c r="F118" s="7"/>
      <c r="G118" s="7"/>
      <c r="H118" s="5"/>
      <c r="I118" s="6"/>
      <c r="J118" s="7"/>
      <c r="K118" s="7"/>
      <c r="L118" s="7"/>
      <c r="M118" s="7"/>
    </row>
    <row r="119" spans="1:18" s="38" customFormat="1" ht="21" customHeight="1" x14ac:dyDescent="0.25">
      <c r="A119" s="88"/>
      <c r="B119" s="7"/>
      <c r="C119" s="7"/>
      <c r="D119" s="7"/>
      <c r="E119" s="7"/>
      <c r="F119" s="7"/>
      <c r="G119" s="7"/>
      <c r="H119" s="5"/>
      <c r="I119" s="6"/>
      <c r="J119" s="7"/>
      <c r="K119" s="7"/>
      <c r="L119" s="7"/>
      <c r="M119" s="7"/>
    </row>
    <row r="120" spans="1:18" s="38" customFormat="1" ht="9" customHeight="1" x14ac:dyDescent="0.25">
      <c r="A120" s="88"/>
      <c r="B120" s="7"/>
      <c r="C120" s="7"/>
      <c r="D120" s="7"/>
      <c r="E120" s="7"/>
      <c r="F120" s="7"/>
      <c r="G120" s="7"/>
      <c r="H120" s="5"/>
      <c r="I120" s="6"/>
      <c r="J120" s="7"/>
      <c r="K120" s="7"/>
      <c r="L120" s="7"/>
      <c r="M120" s="7"/>
    </row>
    <row r="121" spans="1:18" s="38" customFormat="1" ht="18" customHeight="1" x14ac:dyDescent="0.25">
      <c r="A121" s="88" t="s">
        <v>186</v>
      </c>
      <c r="B121" s="7"/>
      <c r="C121" s="7"/>
      <c r="D121" s="7"/>
      <c r="E121" s="7"/>
      <c r="F121" s="7"/>
      <c r="G121" s="7"/>
      <c r="H121" s="5"/>
      <c r="I121" s="6"/>
      <c r="J121" s="7"/>
      <c r="K121" s="7"/>
      <c r="L121" s="7"/>
      <c r="M121" s="7"/>
    </row>
    <row r="122" spans="1:18" s="38" customFormat="1" ht="27.75" customHeight="1" x14ac:dyDescent="0.25">
      <c r="A122" s="88"/>
      <c r="B122" s="7"/>
      <c r="C122" s="7"/>
      <c r="D122" s="7"/>
      <c r="E122" s="7"/>
      <c r="F122" s="7"/>
      <c r="G122" s="7"/>
      <c r="H122" s="5"/>
      <c r="I122" s="6"/>
      <c r="J122" s="7"/>
      <c r="K122" s="7"/>
      <c r="L122" s="7"/>
      <c r="M122" s="7"/>
    </row>
    <row r="123" spans="1:18" s="38" customFormat="1" ht="55.5" customHeight="1" x14ac:dyDescent="0.25">
      <c r="A123" s="592"/>
      <c r="B123" s="592"/>
      <c r="C123" s="592"/>
      <c r="D123" s="592"/>
      <c r="E123" s="592"/>
      <c r="F123" s="7"/>
      <c r="G123" s="7"/>
      <c r="H123" s="5"/>
      <c r="I123" s="6"/>
      <c r="J123" s="7"/>
      <c r="K123" s="7"/>
      <c r="L123" s="7"/>
      <c r="M123" s="7"/>
    </row>
    <row r="124" spans="1:18" s="38" customFormat="1" ht="51" customHeight="1" x14ac:dyDescent="0.25">
      <c r="A124" s="592"/>
      <c r="B124" s="592"/>
      <c r="C124" s="592"/>
      <c r="D124" s="592"/>
      <c r="E124" s="592"/>
      <c r="F124" s="7"/>
      <c r="G124" s="7"/>
      <c r="H124" s="5"/>
      <c r="I124" s="6"/>
      <c r="J124" s="7"/>
      <c r="K124" s="7"/>
      <c r="L124" s="7"/>
      <c r="M124" s="7"/>
    </row>
    <row r="125" spans="1:18" s="38" customFormat="1" ht="27.75" customHeight="1" x14ac:dyDescent="0.25">
      <c r="A125" s="89"/>
      <c r="B125" s="89"/>
      <c r="C125" s="89"/>
      <c r="D125" s="89"/>
      <c r="E125" s="89"/>
      <c r="F125" s="7"/>
      <c r="G125" s="7"/>
      <c r="H125" s="5"/>
      <c r="I125" s="6"/>
      <c r="J125" s="7"/>
      <c r="K125" s="7"/>
      <c r="L125" s="7"/>
      <c r="M125" s="7"/>
    </row>
    <row r="126" spans="1:18" s="38" customFormat="1" ht="15.75" customHeight="1" x14ac:dyDescent="0.25">
      <c r="A126" s="89"/>
      <c r="B126" s="89"/>
      <c r="C126" s="89"/>
      <c r="D126" s="89"/>
      <c r="E126" s="89"/>
      <c r="F126" s="7"/>
      <c r="G126" s="7"/>
      <c r="H126" s="5"/>
      <c r="I126" s="6"/>
      <c r="J126" s="7"/>
      <c r="K126" s="7"/>
      <c r="L126" s="7"/>
      <c r="M126" s="7"/>
    </row>
    <row r="127" spans="1:18" ht="18.75" customHeight="1" x14ac:dyDescent="0.25">
      <c r="A127" s="1" t="s">
        <v>90</v>
      </c>
      <c r="B127" s="7"/>
      <c r="C127" s="7"/>
      <c r="D127" s="7"/>
      <c r="E127" s="7"/>
      <c r="F127" s="7"/>
      <c r="G127" s="7"/>
      <c r="J127" s="7"/>
      <c r="K127" s="7"/>
      <c r="L127" s="7"/>
      <c r="M127" s="7"/>
      <c r="Q127">
        <f>14*3</f>
        <v>42</v>
      </c>
    </row>
    <row r="128" spans="1:18" ht="21" customHeight="1" x14ac:dyDescent="0.25">
      <c r="A128" s="593" t="s">
        <v>91</v>
      </c>
      <c r="B128" s="594"/>
      <c r="C128" s="595"/>
      <c r="D128" s="90" t="s">
        <v>92</v>
      </c>
      <c r="E128" s="90" t="s">
        <v>93</v>
      </c>
      <c r="F128" s="90" t="s">
        <v>94</v>
      </c>
      <c r="G128" s="90" t="s">
        <v>95</v>
      </c>
      <c r="H128" s="527" t="s">
        <v>96</v>
      </c>
      <c r="I128" s="527"/>
      <c r="J128" s="90" t="s">
        <v>97</v>
      </c>
      <c r="K128" s="593" t="s">
        <v>35</v>
      </c>
      <c r="L128" s="594"/>
      <c r="M128" s="595"/>
      <c r="N128" s="160" t="s">
        <v>181</v>
      </c>
      <c r="R128">
        <f>8*3</f>
        <v>24</v>
      </c>
    </row>
    <row r="129" spans="1:18" ht="18" customHeight="1" x14ac:dyDescent="0.25">
      <c r="A129" s="91">
        <v>1</v>
      </c>
      <c r="B129" s="596" t="s">
        <v>187</v>
      </c>
      <c r="C129" s="596"/>
      <c r="D129" s="69">
        <v>3</v>
      </c>
      <c r="E129" s="69">
        <v>3</v>
      </c>
      <c r="F129" s="69"/>
      <c r="G129" s="92"/>
      <c r="H129" s="603"/>
      <c r="I129" s="603"/>
      <c r="J129" s="69">
        <f>+E129+F129-G129-H129</f>
        <v>3</v>
      </c>
      <c r="K129" s="593"/>
      <c r="L129" s="594"/>
      <c r="M129" s="595"/>
      <c r="R129">
        <f>12+12+13</f>
        <v>37</v>
      </c>
    </row>
    <row r="130" spans="1:18" ht="18" customHeight="1" x14ac:dyDescent="0.25">
      <c r="A130" s="91">
        <v>2</v>
      </c>
      <c r="B130" s="596" t="s">
        <v>99</v>
      </c>
      <c r="C130" s="596"/>
      <c r="D130" s="69">
        <v>5</v>
      </c>
      <c r="E130" s="69">
        <v>5</v>
      </c>
      <c r="F130" s="52"/>
      <c r="G130" s="93"/>
      <c r="H130" s="604">
        <v>0</v>
      </c>
      <c r="I130" s="604"/>
      <c r="J130" s="69">
        <f t="shared" ref="J130:J135" si="94">+E130+F130-G130-H130</f>
        <v>5</v>
      </c>
      <c r="K130" s="593"/>
      <c r="L130" s="594"/>
      <c r="M130" s="595"/>
    </row>
    <row r="131" spans="1:18" ht="18" customHeight="1" x14ac:dyDescent="0.25">
      <c r="A131" s="91">
        <v>3</v>
      </c>
      <c r="B131" s="596" t="s">
        <v>100</v>
      </c>
      <c r="C131" s="596"/>
      <c r="D131" s="69">
        <v>25</v>
      </c>
      <c r="E131" s="69">
        <v>24</v>
      </c>
      <c r="F131" s="69"/>
      <c r="G131" s="69">
        <v>0</v>
      </c>
      <c r="H131" s="597">
        <v>1</v>
      </c>
      <c r="I131" s="597"/>
      <c r="J131" s="69">
        <f>+E131+H131</f>
        <v>25</v>
      </c>
      <c r="K131" s="593"/>
      <c r="L131" s="594"/>
      <c r="M131" s="595"/>
      <c r="Q131">
        <f>8*3</f>
        <v>24</v>
      </c>
    </row>
    <row r="132" spans="1:18" ht="18" customHeight="1" x14ac:dyDescent="0.25">
      <c r="A132" s="91">
        <v>4</v>
      </c>
      <c r="B132" s="596" t="s">
        <v>101</v>
      </c>
      <c r="C132" s="596"/>
      <c r="D132" s="69">
        <v>27</v>
      </c>
      <c r="E132" s="69">
        <v>30</v>
      </c>
      <c r="F132" s="69"/>
      <c r="G132" s="92"/>
      <c r="H132" s="598">
        <v>3</v>
      </c>
      <c r="I132" s="599"/>
      <c r="J132" s="69">
        <f>+E132-H132</f>
        <v>27</v>
      </c>
      <c r="K132" s="600"/>
      <c r="L132" s="601"/>
      <c r="M132" s="602"/>
      <c r="O132">
        <f>12*3</f>
        <v>36</v>
      </c>
    </row>
    <row r="133" spans="1:18" ht="18" customHeight="1" x14ac:dyDescent="0.25">
      <c r="A133" s="91">
        <v>5</v>
      </c>
      <c r="B133" s="596" t="s">
        <v>102</v>
      </c>
      <c r="C133" s="596"/>
      <c r="D133" s="69">
        <v>43</v>
      </c>
      <c r="E133" s="69">
        <v>36</v>
      </c>
      <c r="F133" s="69"/>
      <c r="G133" s="92">
        <v>4</v>
      </c>
      <c r="H133" s="607">
        <v>6</v>
      </c>
      <c r="I133" s="607"/>
      <c r="J133" s="69">
        <f>+E133+F133-G133+H133</f>
        <v>38</v>
      </c>
      <c r="K133" s="593"/>
      <c r="L133" s="594"/>
      <c r="M133" s="595"/>
    </row>
    <row r="134" spans="1:18" ht="18" customHeight="1" x14ac:dyDescent="0.25">
      <c r="A134" s="91">
        <v>6</v>
      </c>
      <c r="B134" s="596" t="s">
        <v>103</v>
      </c>
      <c r="C134" s="596"/>
      <c r="D134" s="69">
        <v>6</v>
      </c>
      <c r="E134" s="69">
        <v>6</v>
      </c>
      <c r="F134" s="69"/>
      <c r="G134" s="69"/>
      <c r="H134" s="597"/>
      <c r="I134" s="597"/>
      <c r="J134" s="69">
        <f t="shared" si="94"/>
        <v>6</v>
      </c>
      <c r="K134" s="593"/>
      <c r="L134" s="594"/>
      <c r="M134" s="595"/>
    </row>
    <row r="135" spans="1:18" ht="18" customHeight="1" x14ac:dyDescent="0.25">
      <c r="A135" s="91">
        <v>7</v>
      </c>
      <c r="B135" s="596" t="s">
        <v>104</v>
      </c>
      <c r="C135" s="596"/>
      <c r="D135" s="69">
        <v>1</v>
      </c>
      <c r="E135" s="69">
        <v>1</v>
      </c>
      <c r="F135" s="69"/>
      <c r="G135" s="92"/>
      <c r="H135" s="597"/>
      <c r="I135" s="597"/>
      <c r="J135" s="69">
        <f t="shared" si="94"/>
        <v>1</v>
      </c>
      <c r="K135" s="593"/>
      <c r="L135" s="594"/>
      <c r="M135" s="595"/>
      <c r="P135">
        <f>14*3</f>
        <v>42</v>
      </c>
    </row>
    <row r="136" spans="1:18" ht="18" customHeight="1" x14ac:dyDescent="0.25">
      <c r="A136" s="593" t="s">
        <v>105</v>
      </c>
      <c r="B136" s="594"/>
      <c r="C136" s="595"/>
      <c r="D136" s="94">
        <f>SUM(D129:D135)</f>
        <v>110</v>
      </c>
      <c r="E136" s="94">
        <f>SUM(E129:E135)</f>
        <v>105</v>
      </c>
      <c r="F136" s="95">
        <f t="shared" ref="F136:H136" si="95">SUM(F129:F135)</f>
        <v>0</v>
      </c>
      <c r="G136" s="96">
        <f t="shared" si="95"/>
        <v>4</v>
      </c>
      <c r="H136" s="605">
        <f t="shared" si="95"/>
        <v>10</v>
      </c>
      <c r="I136" s="606"/>
      <c r="J136" s="94">
        <f>SUM(J129:J135)</f>
        <v>105</v>
      </c>
      <c r="K136" s="593"/>
      <c r="L136" s="594"/>
      <c r="M136" s="595"/>
    </row>
    <row r="137" spans="1:18" ht="21.75" customHeight="1" x14ac:dyDescent="0.25">
      <c r="A137" s="88" t="s">
        <v>106</v>
      </c>
      <c r="B137" s="97"/>
      <c r="C137" s="97"/>
      <c r="D137" s="98"/>
      <c r="E137" s="98"/>
      <c r="F137" s="99"/>
      <c r="G137" s="100"/>
      <c r="H137" s="101"/>
      <c r="I137" s="101"/>
      <c r="J137" s="98"/>
      <c r="K137" s="97"/>
      <c r="L137" s="97"/>
      <c r="M137" s="97"/>
    </row>
    <row r="138" spans="1:18" ht="31.5" customHeight="1" x14ac:dyDescent="0.25">
      <c r="A138" s="102"/>
      <c r="B138" s="103" t="s">
        <v>47</v>
      </c>
      <c r="C138" s="608" t="s">
        <v>107</v>
      </c>
      <c r="D138" s="608"/>
      <c r="E138" s="103" t="s">
        <v>108</v>
      </c>
      <c r="F138" s="103" t="s">
        <v>109</v>
      </c>
      <c r="G138" s="103" t="s">
        <v>110</v>
      </c>
      <c r="H138" s="608" t="s">
        <v>111</v>
      </c>
      <c r="I138" s="608"/>
      <c r="J138" s="608" t="s">
        <v>112</v>
      </c>
      <c r="K138" s="608"/>
      <c r="L138" s="608"/>
      <c r="M138" s="608"/>
      <c r="N138" s="161" t="s">
        <v>150</v>
      </c>
      <c r="O138">
        <f>1155+470</f>
        <v>1625</v>
      </c>
    </row>
    <row r="139" spans="1:18" ht="19.5" customHeight="1" x14ac:dyDescent="0.25">
      <c r="A139" s="609"/>
      <c r="B139" s="104">
        <v>1</v>
      </c>
      <c r="C139" s="610" t="s">
        <v>131</v>
      </c>
      <c r="D139" s="611"/>
      <c r="E139" s="67" t="s">
        <v>188</v>
      </c>
      <c r="F139" s="106">
        <v>46145</v>
      </c>
      <c r="G139" s="162">
        <v>1625</v>
      </c>
      <c r="H139" s="612" t="s">
        <v>189</v>
      </c>
      <c r="I139" s="613"/>
      <c r="J139" s="614"/>
      <c r="K139" s="614"/>
      <c r="L139" s="614"/>
      <c r="M139" s="614"/>
    </row>
    <row r="140" spans="1:18" ht="18" customHeight="1" x14ac:dyDescent="0.25">
      <c r="A140" s="609"/>
      <c r="B140" s="104">
        <v>2</v>
      </c>
      <c r="C140" s="610" t="s">
        <v>190</v>
      </c>
      <c r="D140" s="611"/>
      <c r="E140" s="108" t="s">
        <v>191</v>
      </c>
      <c r="F140" s="106">
        <v>46266</v>
      </c>
      <c r="G140" s="162">
        <v>100</v>
      </c>
      <c r="H140" s="610" t="s">
        <v>127</v>
      </c>
      <c r="I140" s="611"/>
      <c r="J140" s="614"/>
      <c r="K140" s="614"/>
      <c r="L140" s="614"/>
      <c r="M140" s="614"/>
    </row>
    <row r="141" spans="1:18" ht="18" customHeight="1" x14ac:dyDescent="0.25">
      <c r="A141" s="609"/>
      <c r="B141" s="104">
        <v>3</v>
      </c>
      <c r="C141" s="612" t="s">
        <v>192</v>
      </c>
      <c r="D141" s="613"/>
      <c r="E141" s="108" t="s">
        <v>193</v>
      </c>
      <c r="F141" s="106" t="s">
        <v>194</v>
      </c>
      <c r="G141" s="162">
        <v>416</v>
      </c>
      <c r="H141" s="612" t="s">
        <v>127</v>
      </c>
      <c r="I141" s="613"/>
      <c r="J141" s="614"/>
      <c r="K141" s="614"/>
      <c r="L141" s="614"/>
      <c r="M141" s="614"/>
      <c r="N141" s="163">
        <f>+G140+G141+G143</f>
        <v>964</v>
      </c>
    </row>
    <row r="142" spans="1:18" ht="18" customHeight="1" x14ac:dyDescent="0.25">
      <c r="A142" s="609"/>
      <c r="B142" s="104">
        <v>4</v>
      </c>
      <c r="C142" s="610" t="s">
        <v>195</v>
      </c>
      <c r="D142" s="611"/>
      <c r="E142" s="108" t="s">
        <v>196</v>
      </c>
      <c r="F142" s="106" t="s">
        <v>197</v>
      </c>
      <c r="G142" s="162">
        <v>253.8</v>
      </c>
      <c r="H142" s="612" t="s">
        <v>198</v>
      </c>
      <c r="I142" s="613"/>
      <c r="J142" s="614"/>
      <c r="K142" s="614"/>
      <c r="L142" s="614"/>
      <c r="M142" s="614"/>
    </row>
    <row r="143" spans="1:18" ht="18" customHeight="1" x14ac:dyDescent="0.25">
      <c r="A143" s="609"/>
      <c r="B143" s="104">
        <v>5</v>
      </c>
      <c r="C143" s="617"/>
      <c r="D143" s="618"/>
      <c r="E143" s="108" t="s">
        <v>199</v>
      </c>
      <c r="F143" s="106">
        <v>46296</v>
      </c>
      <c r="G143" s="162">
        <v>448</v>
      </c>
      <c r="H143" s="612" t="s">
        <v>198</v>
      </c>
      <c r="I143" s="613"/>
      <c r="J143" s="614"/>
      <c r="K143" s="614"/>
      <c r="L143" s="614"/>
      <c r="M143" s="614"/>
    </row>
    <row r="144" spans="1:18" ht="18" customHeight="1" x14ac:dyDescent="0.25">
      <c r="A144" s="620" t="s">
        <v>200</v>
      </c>
      <c r="B144" s="621"/>
      <c r="C144" s="621"/>
      <c r="D144" s="621"/>
      <c r="E144" s="621"/>
      <c r="F144" s="622"/>
      <c r="G144" s="164">
        <f>SUM(G139:G143)</f>
        <v>2842.8</v>
      </c>
      <c r="H144" s="623"/>
      <c r="I144" s="623"/>
      <c r="J144" s="623"/>
      <c r="K144" s="623"/>
      <c r="L144" s="623"/>
      <c r="M144" s="623"/>
    </row>
    <row r="145" spans="1:17" ht="17.25" customHeight="1" x14ac:dyDescent="0.25">
      <c r="A145" s="1" t="s">
        <v>201</v>
      </c>
      <c r="B145" s="7"/>
      <c r="C145" s="7"/>
      <c r="D145" s="7"/>
      <c r="E145" s="7"/>
      <c r="F145" s="7"/>
      <c r="G145" s="7"/>
      <c r="H145" s="110"/>
      <c r="I145" s="111"/>
      <c r="J145" s="7"/>
      <c r="K145" s="7"/>
      <c r="L145" s="7"/>
      <c r="M145" s="7"/>
    </row>
    <row r="146" spans="1:17" ht="17.25" customHeight="1" x14ac:dyDescent="0.25">
      <c r="A146" s="1" t="s">
        <v>202</v>
      </c>
      <c r="B146" s="7"/>
      <c r="C146" s="7"/>
      <c r="D146" s="7"/>
      <c r="E146" s="7"/>
      <c r="F146" s="7"/>
      <c r="G146" s="7"/>
      <c r="H146" s="110"/>
      <c r="I146" s="111"/>
      <c r="J146" s="7"/>
      <c r="K146" s="7"/>
      <c r="L146" s="7"/>
      <c r="M146" s="7"/>
    </row>
    <row r="147" spans="1:17" ht="21.75" customHeight="1" x14ac:dyDescent="0.25">
      <c r="A147" s="640" t="s">
        <v>203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</row>
    <row r="148" spans="1:17" ht="21.75" customHeight="1" x14ac:dyDescent="0.25">
      <c r="A148" s="641"/>
      <c r="B148" s="641"/>
      <c r="C148" s="641"/>
      <c r="D148" s="641"/>
      <c r="E148" s="641"/>
      <c r="F148" s="641"/>
      <c r="G148" s="641"/>
      <c r="H148" s="641"/>
      <c r="I148" s="641"/>
      <c r="J148" s="641"/>
      <c r="K148" s="641"/>
      <c r="L148" s="641"/>
      <c r="M148" s="641"/>
    </row>
    <row r="149" spans="1:17" ht="25.5" customHeight="1" x14ac:dyDescent="0.25">
      <c r="A149" s="624" t="s">
        <v>6</v>
      </c>
      <c r="B149" s="625"/>
      <c r="C149" s="524" t="s">
        <v>138</v>
      </c>
      <c r="D149" s="542" t="s">
        <v>8</v>
      </c>
      <c r="E149" s="542"/>
      <c r="F149" s="542"/>
      <c r="G149" s="626" t="s">
        <v>139</v>
      </c>
      <c r="H149" s="627" t="s">
        <v>140</v>
      </c>
      <c r="I149" s="113" t="s">
        <v>141</v>
      </c>
      <c r="J149" s="114" t="s">
        <v>12</v>
      </c>
      <c r="K149" s="114" t="s">
        <v>13</v>
      </c>
      <c r="L149" s="114" t="s">
        <v>14</v>
      </c>
      <c r="M149" s="165" t="s">
        <v>142</v>
      </c>
      <c r="N149" s="166" t="s">
        <v>181</v>
      </c>
    </row>
    <row r="150" spans="1:17" ht="25.5" customHeight="1" x14ac:dyDescent="0.25">
      <c r="A150" s="114" t="s">
        <v>143</v>
      </c>
      <c r="B150" s="114" t="s">
        <v>17</v>
      </c>
      <c r="C150" s="527"/>
      <c r="D150" s="114" t="s">
        <v>18</v>
      </c>
      <c r="E150" s="114" t="s">
        <v>19</v>
      </c>
      <c r="F150" s="114" t="s">
        <v>20</v>
      </c>
      <c r="G150" s="626"/>
      <c r="H150" s="628"/>
      <c r="I150" s="113" t="s">
        <v>144</v>
      </c>
      <c r="J150" s="114"/>
      <c r="K150" s="114" t="s">
        <v>22</v>
      </c>
      <c r="L150" s="114" t="s">
        <v>23</v>
      </c>
      <c r="M150" s="114" t="s">
        <v>24</v>
      </c>
    </row>
    <row r="151" spans="1:17" ht="21.75" customHeight="1" x14ac:dyDescent="0.25">
      <c r="A151" s="542" t="s">
        <v>146</v>
      </c>
      <c r="B151" s="25" t="s">
        <v>21</v>
      </c>
      <c r="C151" s="121">
        <f>+G151*100/J152</f>
        <v>454137.59999999998</v>
      </c>
      <c r="D151" s="117">
        <f>+G151*D152/100</f>
        <v>400549.36320000002</v>
      </c>
      <c r="E151" s="117">
        <f>+G151*E152/100</f>
        <v>31153.839359999998</v>
      </c>
      <c r="F151" s="117">
        <f>+G151*F152/100</f>
        <v>13351.64544</v>
      </c>
      <c r="G151" s="117">
        <f>+I151*H151</f>
        <v>445054.848</v>
      </c>
      <c r="H151" s="16">
        <v>31</v>
      </c>
      <c r="I151" s="17">
        <f>10.9*0.96*1400*0.98</f>
        <v>14356.608</v>
      </c>
      <c r="J151" s="119"/>
      <c r="K151" s="119"/>
      <c r="L151" s="120"/>
      <c r="M151" s="119"/>
    </row>
    <row r="152" spans="1:17" ht="21.75" customHeight="1" x14ac:dyDescent="0.25">
      <c r="A152" s="542"/>
      <c r="B152" s="25" t="s">
        <v>26</v>
      </c>
      <c r="C152" s="121"/>
      <c r="D152" s="21">
        <v>90</v>
      </c>
      <c r="E152" s="21">
        <v>7</v>
      </c>
      <c r="F152" s="21">
        <v>3</v>
      </c>
      <c r="G152" s="21">
        <v>100</v>
      </c>
      <c r="H152" s="122"/>
      <c r="I152" s="123"/>
      <c r="J152" s="16">
        <v>98</v>
      </c>
      <c r="K152" s="629">
        <f>100-J152</f>
        <v>2</v>
      </c>
      <c r="L152" s="629"/>
      <c r="M152" s="120">
        <v>40</v>
      </c>
    </row>
    <row r="153" spans="1:17" ht="21.75" customHeight="1" x14ac:dyDescent="0.25">
      <c r="A153" s="542" t="s">
        <v>147</v>
      </c>
      <c r="B153" s="25" t="s">
        <v>21</v>
      </c>
      <c r="C153" s="121">
        <f>+C151</f>
        <v>454137.59999999998</v>
      </c>
      <c r="D153" s="117">
        <f>+D151</f>
        <v>400549.36320000002</v>
      </c>
      <c r="E153" s="117">
        <f>+E151</f>
        <v>31153.839359999998</v>
      </c>
      <c r="F153" s="117">
        <f>+F151</f>
        <v>13351.64544</v>
      </c>
      <c r="G153" s="117">
        <f>SUM(D153:F153)</f>
        <v>445054.848</v>
      </c>
      <c r="H153" s="16">
        <v>31</v>
      </c>
      <c r="I153" s="17">
        <f>+I151</f>
        <v>14356.608</v>
      </c>
      <c r="J153" s="123"/>
      <c r="K153" s="119"/>
      <c r="L153" s="120"/>
      <c r="M153" s="120"/>
    </row>
    <row r="154" spans="1:17" ht="21.75" customHeight="1" x14ac:dyDescent="0.25">
      <c r="A154" s="542"/>
      <c r="B154" s="25" t="s">
        <v>26</v>
      </c>
      <c r="C154" s="105"/>
      <c r="D154" s="125">
        <f>+D153/G153*100</f>
        <v>90</v>
      </c>
      <c r="E154" s="125">
        <f>+E153/G153*100</f>
        <v>6.9999999999999991</v>
      </c>
      <c r="F154" s="125">
        <f>+F153/G153*100</f>
        <v>3.0000000000000004</v>
      </c>
      <c r="G154" s="21">
        <v>100</v>
      </c>
      <c r="H154" s="122"/>
      <c r="I154" s="122"/>
      <c r="J154" s="16">
        <v>98</v>
      </c>
      <c r="K154" s="629">
        <f>100-J154</f>
        <v>2</v>
      </c>
      <c r="L154" s="629"/>
      <c r="M154" s="67">
        <v>40</v>
      </c>
    </row>
    <row r="155" spans="1:17" ht="27" customHeight="1" x14ac:dyDescent="0.25">
      <c r="A155" s="112" t="s">
        <v>204</v>
      </c>
      <c r="B155" s="8"/>
      <c r="C155" s="7"/>
      <c r="D155" s="7"/>
      <c r="E155" s="7"/>
      <c r="F155" s="7"/>
      <c r="G155" s="7"/>
      <c r="J155" s="7"/>
      <c r="K155" s="7"/>
      <c r="L155" s="7"/>
      <c r="M155" s="7"/>
    </row>
    <row r="156" spans="1:17" ht="32.25" customHeight="1" x14ac:dyDescent="0.25">
      <c r="A156" s="624" t="s">
        <v>6</v>
      </c>
      <c r="B156" s="625"/>
      <c r="C156" s="524" t="s">
        <v>138</v>
      </c>
      <c r="D156" s="542" t="s">
        <v>8</v>
      </c>
      <c r="E156" s="542"/>
      <c r="F156" s="542"/>
      <c r="G156" s="626" t="s">
        <v>139</v>
      </c>
      <c r="H156" s="627" t="s">
        <v>149</v>
      </c>
      <c r="I156" s="126" t="s">
        <v>141</v>
      </c>
      <c r="J156" s="628" t="s">
        <v>12</v>
      </c>
      <c r="K156" s="114" t="s">
        <v>13</v>
      </c>
      <c r="L156" s="114" t="s">
        <v>14</v>
      </c>
      <c r="M156" s="165" t="s">
        <v>142</v>
      </c>
      <c r="N156" t="s">
        <v>150</v>
      </c>
    </row>
    <row r="157" spans="1:17" ht="17.25" customHeight="1" x14ac:dyDescent="0.25">
      <c r="A157" s="114" t="s">
        <v>151</v>
      </c>
      <c r="B157" s="114" t="s">
        <v>17</v>
      </c>
      <c r="C157" s="527"/>
      <c r="D157" s="114" t="s">
        <v>18</v>
      </c>
      <c r="E157" s="114" t="s">
        <v>19</v>
      </c>
      <c r="F157" s="114" t="s">
        <v>20</v>
      </c>
      <c r="G157" s="542"/>
      <c r="H157" s="627"/>
      <c r="I157" s="113" t="s">
        <v>144</v>
      </c>
      <c r="J157" s="628"/>
      <c r="K157" s="114" t="s">
        <v>22</v>
      </c>
      <c r="L157" s="114" t="s">
        <v>23</v>
      </c>
      <c r="M157" s="114" t="s">
        <v>24</v>
      </c>
      <c r="Q157">
        <f>15410*31</f>
        <v>477710</v>
      </c>
    </row>
    <row r="158" spans="1:17" ht="17.25" customHeight="1" x14ac:dyDescent="0.25">
      <c r="A158" s="542" t="s">
        <v>146</v>
      </c>
      <c r="B158" s="25" t="s">
        <v>21</v>
      </c>
      <c r="C158" s="121">
        <f>+G158*100/J159</f>
        <v>463220.35199999996</v>
      </c>
      <c r="D158" s="127">
        <f t="shared" ref="D158:E158" si="96">+$G$158*D159/100</f>
        <v>418491.79481087998</v>
      </c>
      <c r="E158" s="127">
        <f t="shared" si="96"/>
        <v>27292.943139840001</v>
      </c>
      <c r="F158" s="127">
        <f>+$G$158*F159/100</f>
        <v>9097.6477132799992</v>
      </c>
      <c r="G158" s="127">
        <f>+I158*H158</f>
        <v>454882.385664</v>
      </c>
      <c r="H158" s="16">
        <v>31</v>
      </c>
      <c r="I158" s="17">
        <f>10.9*0.96*1400*0.982*1.02</f>
        <v>14673.625344</v>
      </c>
      <c r="J158" s="129"/>
      <c r="K158" s="120"/>
      <c r="L158" s="120"/>
      <c r="M158" s="130"/>
      <c r="O158" s="131"/>
      <c r="Q158">
        <f>+Q157/100*98.2</f>
        <v>469111.22000000003</v>
      </c>
    </row>
    <row r="159" spans="1:17" ht="17.25" customHeight="1" x14ac:dyDescent="0.25">
      <c r="A159" s="542"/>
      <c r="B159" s="25" t="s">
        <v>26</v>
      </c>
      <c r="C159" s="105"/>
      <c r="D159" s="21">
        <v>92</v>
      </c>
      <c r="E159" s="21">
        <v>6</v>
      </c>
      <c r="F159" s="21">
        <v>2</v>
      </c>
      <c r="G159" s="21">
        <v>100</v>
      </c>
      <c r="H159" s="129"/>
      <c r="I159" s="128"/>
      <c r="J159" s="132">
        <v>98.2</v>
      </c>
      <c r="K159" s="634">
        <f>100-J159</f>
        <v>1.7999999999999972</v>
      </c>
      <c r="L159" s="634"/>
      <c r="M159" s="134">
        <v>25</v>
      </c>
      <c r="N159" s="131"/>
    </row>
    <row r="160" spans="1:17" ht="17.25" customHeight="1" x14ac:dyDescent="0.25">
      <c r="A160" s="542" t="s">
        <v>147</v>
      </c>
      <c r="B160" s="25" t="s">
        <v>21</v>
      </c>
      <c r="C160" s="127">
        <f>+C158</f>
        <v>463220.35199999996</v>
      </c>
      <c r="D160" s="127">
        <f>+D158</f>
        <v>418491.79481087998</v>
      </c>
      <c r="E160" s="127">
        <f>+E158</f>
        <v>27292.943139840001</v>
      </c>
      <c r="F160" s="127">
        <f>+F158</f>
        <v>9097.6477132799992</v>
      </c>
      <c r="G160" s="127">
        <f>+D160+E160+F160</f>
        <v>454882.38566399994</v>
      </c>
      <c r="H160" s="132">
        <f>+H158</f>
        <v>31</v>
      </c>
      <c r="I160" s="167">
        <f>+G160/H160</f>
        <v>14673.625343999998</v>
      </c>
      <c r="J160" s="129"/>
      <c r="K160" s="129"/>
      <c r="L160" s="129"/>
      <c r="M160" s="130"/>
    </row>
    <row r="161" spans="1:17" ht="17.25" customHeight="1" x14ac:dyDescent="0.25">
      <c r="A161" s="542"/>
      <c r="B161" s="25" t="s">
        <v>26</v>
      </c>
      <c r="C161" s="105"/>
      <c r="D161" s="135">
        <f>+D160/G160</f>
        <v>0.92</v>
      </c>
      <c r="E161" s="136">
        <f>+E160/G160</f>
        <v>6.0000000000000012E-2</v>
      </c>
      <c r="F161" s="135">
        <f>+F160/G160</f>
        <v>0.02</v>
      </c>
      <c r="G161" s="21">
        <v>100</v>
      </c>
      <c r="H161" s="129"/>
      <c r="I161" s="129"/>
      <c r="J161" s="132">
        <f>+J159</f>
        <v>98.2</v>
      </c>
      <c r="K161" s="634">
        <f>100-J161</f>
        <v>1.7999999999999972</v>
      </c>
      <c r="L161" s="634"/>
      <c r="M161" s="58">
        <f>+M159</f>
        <v>25</v>
      </c>
    </row>
    <row r="162" spans="1:17" ht="6" customHeight="1" x14ac:dyDescent="0.25">
      <c r="A162" s="7"/>
      <c r="B162" s="7"/>
      <c r="C162" s="7"/>
      <c r="D162" s="7"/>
      <c r="E162" s="7"/>
      <c r="F162" s="7"/>
      <c r="G162" s="7"/>
      <c r="J162" s="7"/>
      <c r="K162" s="7"/>
      <c r="L162" s="7"/>
      <c r="M162" s="7"/>
    </row>
    <row r="163" spans="1:17" ht="17.25" customHeight="1" x14ac:dyDescent="0.25">
      <c r="A163" s="1" t="s">
        <v>205</v>
      </c>
      <c r="B163" s="7"/>
      <c r="C163" s="7"/>
      <c r="D163" s="7"/>
      <c r="E163" s="7"/>
      <c r="F163" s="7"/>
      <c r="G163" s="7"/>
      <c r="J163" s="7"/>
      <c r="K163" s="7"/>
      <c r="L163" s="7"/>
      <c r="M163" s="7"/>
    </row>
    <row r="164" spans="1:17" ht="17.25" customHeight="1" x14ac:dyDescent="0.25">
      <c r="A164" s="137" t="s">
        <v>206</v>
      </c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Q164" t="e">
        <v>#REF!</v>
      </c>
    </row>
    <row r="165" spans="1:17" ht="17.25" customHeight="1" x14ac:dyDescent="0.25">
      <c r="A165" s="1" t="s">
        <v>154</v>
      </c>
      <c r="B165" s="7"/>
      <c r="C165" s="7"/>
      <c r="D165" s="7"/>
      <c r="E165" s="7"/>
      <c r="F165" s="7"/>
      <c r="G165" s="7"/>
      <c r="J165" s="7"/>
      <c r="K165" s="7"/>
      <c r="L165" s="7"/>
      <c r="M165" s="7"/>
    </row>
    <row r="166" spans="1:17" ht="17.25" customHeight="1" x14ac:dyDescent="0.25">
      <c r="A166" s="630" t="s">
        <v>207</v>
      </c>
      <c r="B166" s="630"/>
      <c r="C166" s="630"/>
      <c r="D166" s="630"/>
      <c r="E166" s="630"/>
      <c r="F166" s="630"/>
      <c r="G166" s="630"/>
      <c r="H166" s="630"/>
      <c r="I166" s="630"/>
      <c r="J166" s="630"/>
      <c r="K166" s="630"/>
      <c r="L166" s="630"/>
      <c r="M166" s="630"/>
    </row>
    <row r="167" spans="1:17" ht="17.25" customHeight="1" x14ac:dyDescent="0.25">
      <c r="A167" s="631" t="s">
        <v>156</v>
      </c>
      <c r="B167" s="631"/>
      <c r="C167" s="631"/>
      <c r="D167" s="631"/>
      <c r="E167" s="631"/>
      <c r="F167" s="631"/>
      <c r="G167" s="631"/>
      <c r="H167" s="631"/>
      <c r="I167" s="631"/>
      <c r="J167" s="631"/>
      <c r="K167" s="631"/>
      <c r="L167" s="631"/>
      <c r="M167" s="631"/>
    </row>
    <row r="168" spans="1:17" ht="17.25" customHeight="1" x14ac:dyDescent="0.25">
      <c r="A168" s="139" t="s">
        <v>157</v>
      </c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</row>
    <row r="169" spans="1:17" ht="17.25" customHeight="1" x14ac:dyDescent="0.25">
      <c r="A169" s="139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</row>
    <row r="170" spans="1:17" ht="17.25" customHeight="1" x14ac:dyDescent="0.25">
      <c r="A170" s="141" t="s">
        <v>158</v>
      </c>
      <c r="B170" s="7"/>
      <c r="C170" s="7"/>
      <c r="D170" s="7"/>
      <c r="E170" s="7"/>
      <c r="F170" s="7"/>
      <c r="G170" s="7"/>
      <c r="J170" s="632" t="s">
        <v>208</v>
      </c>
      <c r="K170" s="632"/>
      <c r="L170" s="632"/>
      <c r="M170" s="632"/>
    </row>
    <row r="171" spans="1:17" ht="19.5" customHeight="1" x14ac:dyDescent="0.25">
      <c r="A171" s="7"/>
      <c r="B171" s="7"/>
      <c r="C171" s="7"/>
      <c r="D171" s="633" t="s">
        <v>160</v>
      </c>
      <c r="E171" s="633"/>
      <c r="F171" s="7"/>
      <c r="G171" s="7"/>
      <c r="J171" s="7"/>
      <c r="K171" s="1" t="s">
        <v>161</v>
      </c>
      <c r="L171" s="7"/>
      <c r="M171" s="7"/>
    </row>
    <row r="172" spans="1:17" x14ac:dyDescent="0.25">
      <c r="A172" s="141"/>
      <c r="B172" s="7"/>
      <c r="C172" s="7"/>
      <c r="D172" s="7"/>
      <c r="E172" s="7"/>
      <c r="F172" s="7"/>
      <c r="G172" s="7"/>
      <c r="J172" s="7"/>
      <c r="K172" s="7"/>
      <c r="L172" s="7"/>
      <c r="M172" s="7"/>
    </row>
    <row r="173" spans="1:17" x14ac:dyDescent="0.25">
      <c r="A173" s="143" t="s">
        <v>162</v>
      </c>
      <c r="B173" s="7"/>
      <c r="C173" s="7"/>
      <c r="D173" s="7"/>
      <c r="E173" s="7"/>
      <c r="F173" s="7"/>
      <c r="G173" s="7"/>
      <c r="J173" s="7"/>
      <c r="K173" s="7"/>
      <c r="L173" s="7"/>
      <c r="M173" s="7"/>
    </row>
    <row r="174" spans="1:17" x14ac:dyDescent="0.25">
      <c r="A174" s="2" t="s">
        <v>163</v>
      </c>
      <c r="B174" s="7"/>
      <c r="C174" s="7"/>
      <c r="D174" s="7"/>
      <c r="E174" s="7"/>
      <c r="F174" s="7"/>
      <c r="G174" s="7"/>
      <c r="J174" s="7"/>
      <c r="K174" s="7"/>
      <c r="L174" s="7"/>
      <c r="M174" s="7"/>
    </row>
    <row r="175" spans="1:17" x14ac:dyDescent="0.25">
      <c r="A175" s="2" t="s">
        <v>164</v>
      </c>
      <c r="B175" s="7"/>
      <c r="C175" s="7"/>
      <c r="D175" s="7"/>
      <c r="E175" s="7"/>
      <c r="F175" s="7"/>
      <c r="G175" s="7"/>
      <c r="J175" s="7"/>
      <c r="K175" s="7"/>
      <c r="L175" s="7"/>
      <c r="M175" s="7"/>
    </row>
    <row r="176" spans="1:17" x14ac:dyDescent="0.25">
      <c r="A176" s="144" t="s">
        <v>165</v>
      </c>
      <c r="B176" s="7"/>
      <c r="C176" s="7"/>
      <c r="D176" s="7"/>
      <c r="E176" s="7"/>
      <c r="F176" s="7"/>
      <c r="G176" s="7"/>
      <c r="J176" s="632" t="s">
        <v>166</v>
      </c>
      <c r="K176" s="632"/>
      <c r="L176" s="632"/>
      <c r="M176" s="632"/>
    </row>
    <row r="177" spans="1:13" x14ac:dyDescent="0.25">
      <c r="A177" s="2"/>
      <c r="B177" s="7"/>
      <c r="C177" s="7"/>
      <c r="D177" s="7"/>
      <c r="E177" s="7"/>
      <c r="F177" s="7"/>
      <c r="G177" s="7"/>
      <c r="J177" s="7"/>
      <c r="K177" s="632"/>
      <c r="L177" s="632"/>
      <c r="M177" s="7"/>
    </row>
    <row r="178" spans="1:13" x14ac:dyDescent="0.25">
      <c r="A178" s="144"/>
      <c r="B178" s="7"/>
      <c r="C178" s="7"/>
      <c r="D178" s="7"/>
      <c r="E178" s="7"/>
      <c r="F178" s="7"/>
      <c r="G178" s="7"/>
      <c r="J178" s="7"/>
      <c r="K178" s="7"/>
      <c r="L178" s="7"/>
      <c r="M178" s="7"/>
    </row>
    <row r="179" spans="1:13" x14ac:dyDescent="0.25">
      <c r="A179" s="2"/>
      <c r="B179" s="7"/>
      <c r="C179" s="7"/>
      <c r="D179" s="7"/>
      <c r="E179" s="7"/>
      <c r="F179" s="7"/>
      <c r="G179" s="7"/>
      <c r="J179" s="7"/>
      <c r="K179" s="7"/>
      <c r="L179" s="7"/>
      <c r="M179" s="7"/>
    </row>
    <row r="180" spans="1:13" x14ac:dyDescent="0.25">
      <c r="A180" s="145"/>
    </row>
    <row r="181" spans="1:13" x14ac:dyDescent="0.25">
      <c r="A181" s="145"/>
    </row>
    <row r="186" spans="1:13" ht="15.75" x14ac:dyDescent="0.25">
      <c r="A186" s="146"/>
    </row>
    <row r="187" spans="1:13" ht="15.75" x14ac:dyDescent="0.25">
      <c r="A187" s="146"/>
    </row>
    <row r="188" spans="1:13" ht="15.75" x14ac:dyDescent="0.25">
      <c r="A188" s="146"/>
    </row>
    <row r="189" spans="1:13" ht="15.75" x14ac:dyDescent="0.25">
      <c r="A189" s="146"/>
    </row>
    <row r="190" spans="1:13" ht="15.75" x14ac:dyDescent="0.25">
      <c r="A190" s="146"/>
    </row>
    <row r="191" spans="1:13" ht="15.75" x14ac:dyDescent="0.25">
      <c r="A191" s="147"/>
    </row>
  </sheetData>
  <mergeCells count="397">
    <mergeCell ref="J170:M170"/>
    <mergeCell ref="D171:E171"/>
    <mergeCell ref="J176:M176"/>
    <mergeCell ref="K177:L177"/>
    <mergeCell ref="A158:A159"/>
    <mergeCell ref="K159:L159"/>
    <mergeCell ref="A160:A161"/>
    <mergeCell ref="K161:L161"/>
    <mergeCell ref="A166:M166"/>
    <mergeCell ref="A167:M167"/>
    <mergeCell ref="A151:A152"/>
    <mergeCell ref="K152:L152"/>
    <mergeCell ref="A153:A154"/>
    <mergeCell ref="K154:L154"/>
    <mergeCell ref="A156:B156"/>
    <mergeCell ref="C156:C157"/>
    <mergeCell ref="D156:F156"/>
    <mergeCell ref="G156:G157"/>
    <mergeCell ref="H156:H157"/>
    <mergeCell ref="J156:J157"/>
    <mergeCell ref="A144:F144"/>
    <mergeCell ref="H144:M144"/>
    <mergeCell ref="A147:M148"/>
    <mergeCell ref="A149:B149"/>
    <mergeCell ref="C149:C150"/>
    <mergeCell ref="D149:F149"/>
    <mergeCell ref="G149:G150"/>
    <mergeCell ref="H149:H150"/>
    <mergeCell ref="C141:D141"/>
    <mergeCell ref="H141:I141"/>
    <mergeCell ref="J141:M141"/>
    <mergeCell ref="C142:D143"/>
    <mergeCell ref="H142:I142"/>
    <mergeCell ref="J142:M142"/>
    <mergeCell ref="H143:I143"/>
    <mergeCell ref="J143:M143"/>
    <mergeCell ref="C138:D138"/>
    <mergeCell ref="H138:I138"/>
    <mergeCell ref="J138:M138"/>
    <mergeCell ref="A139:A143"/>
    <mergeCell ref="C139:D139"/>
    <mergeCell ref="H139:I139"/>
    <mergeCell ref="J139:M139"/>
    <mergeCell ref="C140:D140"/>
    <mergeCell ref="H140:I140"/>
    <mergeCell ref="J140:M140"/>
    <mergeCell ref="B135:C135"/>
    <mergeCell ref="H135:I135"/>
    <mergeCell ref="K135:M135"/>
    <mergeCell ref="A136:C136"/>
    <mergeCell ref="H136:I136"/>
    <mergeCell ref="K136:M136"/>
    <mergeCell ref="B133:C133"/>
    <mergeCell ref="H133:I133"/>
    <mergeCell ref="K133:M133"/>
    <mergeCell ref="B134:C134"/>
    <mergeCell ref="H134:I134"/>
    <mergeCell ref="K134:M134"/>
    <mergeCell ref="B131:C131"/>
    <mergeCell ref="H131:I131"/>
    <mergeCell ref="K131:M131"/>
    <mergeCell ref="B132:C132"/>
    <mergeCell ref="H132:I132"/>
    <mergeCell ref="K132:M132"/>
    <mergeCell ref="K128:M128"/>
    <mergeCell ref="B129:C129"/>
    <mergeCell ref="H129:I129"/>
    <mergeCell ref="K129:M129"/>
    <mergeCell ref="B130:C130"/>
    <mergeCell ref="H130:I130"/>
    <mergeCell ref="K130:M130"/>
    <mergeCell ref="B103:C103"/>
    <mergeCell ref="G103:H103"/>
    <mergeCell ref="A105:E105"/>
    <mergeCell ref="A123:E123"/>
    <mergeCell ref="A124:E124"/>
    <mergeCell ref="A128:C128"/>
    <mergeCell ref="H128:I128"/>
    <mergeCell ref="B101:C101"/>
    <mergeCell ref="G101:H101"/>
    <mergeCell ref="K101:L101"/>
    <mergeCell ref="B102:C102"/>
    <mergeCell ref="G102:H102"/>
    <mergeCell ref="K102:M102"/>
    <mergeCell ref="B98:C98"/>
    <mergeCell ref="G98:H98"/>
    <mergeCell ref="K98:M98"/>
    <mergeCell ref="B99:C99"/>
    <mergeCell ref="G99:H99"/>
    <mergeCell ref="B100:C100"/>
    <mergeCell ref="G100:H100"/>
    <mergeCell ref="K95:M95"/>
    <mergeCell ref="O95:P95"/>
    <mergeCell ref="B96:C96"/>
    <mergeCell ref="G96:H96"/>
    <mergeCell ref="K96:M96"/>
    <mergeCell ref="B97:C97"/>
    <mergeCell ref="G97:H97"/>
    <mergeCell ref="B93:C93"/>
    <mergeCell ref="G93:H93"/>
    <mergeCell ref="B94:C94"/>
    <mergeCell ref="G94:H94"/>
    <mergeCell ref="B95:C95"/>
    <mergeCell ref="G95:H95"/>
    <mergeCell ref="B91:C91"/>
    <mergeCell ref="G91:H91"/>
    <mergeCell ref="K91:M91"/>
    <mergeCell ref="B92:C92"/>
    <mergeCell ref="G92:H92"/>
    <mergeCell ref="K92:M92"/>
    <mergeCell ref="B87:C87"/>
    <mergeCell ref="G87:H87"/>
    <mergeCell ref="B88:C88"/>
    <mergeCell ref="G88:H88"/>
    <mergeCell ref="B89:C89"/>
    <mergeCell ref="G89:H89"/>
    <mergeCell ref="B85:C85"/>
    <mergeCell ref="G85:H85"/>
    <mergeCell ref="K85:L85"/>
    <mergeCell ref="B86:C86"/>
    <mergeCell ref="G86:H86"/>
    <mergeCell ref="K86:M86"/>
    <mergeCell ref="K82:M82"/>
    <mergeCell ref="B83:C83"/>
    <mergeCell ref="G83:H83"/>
    <mergeCell ref="B84:C84"/>
    <mergeCell ref="G84:H84"/>
    <mergeCell ref="K84:L84"/>
    <mergeCell ref="B80:C80"/>
    <mergeCell ref="G80:H80"/>
    <mergeCell ref="B81:C81"/>
    <mergeCell ref="G81:H81"/>
    <mergeCell ref="B82:C82"/>
    <mergeCell ref="G82:H82"/>
    <mergeCell ref="B77:C77"/>
    <mergeCell ref="G77:H77"/>
    <mergeCell ref="B78:C78"/>
    <mergeCell ref="G78:H78"/>
    <mergeCell ref="B79:C79"/>
    <mergeCell ref="G79:H79"/>
    <mergeCell ref="B74:C74"/>
    <mergeCell ref="G74:H74"/>
    <mergeCell ref="K74:M74"/>
    <mergeCell ref="B75:C75"/>
    <mergeCell ref="G75:H75"/>
    <mergeCell ref="B76:C76"/>
    <mergeCell ref="G76:H76"/>
    <mergeCell ref="K76:M76"/>
    <mergeCell ref="B72:C72"/>
    <mergeCell ref="G72:H72"/>
    <mergeCell ref="K72:M72"/>
    <mergeCell ref="B73:C73"/>
    <mergeCell ref="G73:H73"/>
    <mergeCell ref="K73:M73"/>
    <mergeCell ref="D68:E68"/>
    <mergeCell ref="F68:G68"/>
    <mergeCell ref="H68:I68"/>
    <mergeCell ref="J68:K68"/>
    <mergeCell ref="B66:C66"/>
    <mergeCell ref="D66:E66"/>
    <mergeCell ref="F66:G66"/>
    <mergeCell ref="H66:I66"/>
    <mergeCell ref="J66:K66"/>
    <mergeCell ref="A63:A64"/>
    <mergeCell ref="B63:C63"/>
    <mergeCell ref="D63:E63"/>
    <mergeCell ref="F63:G63"/>
    <mergeCell ref="H63:I63"/>
    <mergeCell ref="J63:K63"/>
    <mergeCell ref="B64:C64"/>
    <mergeCell ref="A67:A68"/>
    <mergeCell ref="B67:C67"/>
    <mergeCell ref="D67:E67"/>
    <mergeCell ref="F67:G67"/>
    <mergeCell ref="H67:I67"/>
    <mergeCell ref="D64:E64"/>
    <mergeCell ref="F64:G64"/>
    <mergeCell ref="H64:I64"/>
    <mergeCell ref="J64:K64"/>
    <mergeCell ref="A65:A66"/>
    <mergeCell ref="B65:C65"/>
    <mergeCell ref="D65:E65"/>
    <mergeCell ref="F65:G65"/>
    <mergeCell ref="H65:I65"/>
    <mergeCell ref="J65:K65"/>
    <mergeCell ref="J67:K67"/>
    <mergeCell ref="B68:C68"/>
    <mergeCell ref="A61:A62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J58:K58"/>
    <mergeCell ref="A59:A60"/>
    <mergeCell ref="B59:C59"/>
    <mergeCell ref="D59:E59"/>
    <mergeCell ref="F59:G59"/>
    <mergeCell ref="H59:I59"/>
    <mergeCell ref="J59:K59"/>
    <mergeCell ref="B60:C60"/>
    <mergeCell ref="D60:E60"/>
    <mergeCell ref="F60:G60"/>
    <mergeCell ref="A57:A58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H60:I60"/>
    <mergeCell ref="J60:K60"/>
    <mergeCell ref="A55:A56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H51:I51"/>
    <mergeCell ref="J51:K51"/>
    <mergeCell ref="B52:C52"/>
    <mergeCell ref="D52:E52"/>
    <mergeCell ref="F52:G52"/>
    <mergeCell ref="H52:I52"/>
    <mergeCell ref="A53:A54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L47:M48"/>
    <mergeCell ref="B48:C48"/>
    <mergeCell ref="D48:E48"/>
    <mergeCell ref="F48:G48"/>
    <mergeCell ref="H48:I48"/>
    <mergeCell ref="A49:A50"/>
    <mergeCell ref="B49:C49"/>
    <mergeCell ref="D49:E49"/>
    <mergeCell ref="F49:G49"/>
    <mergeCell ref="H49:I49"/>
    <mergeCell ref="J49:K49"/>
    <mergeCell ref="L49:M68"/>
    <mergeCell ref="B50:C50"/>
    <mergeCell ref="D50:E50"/>
    <mergeCell ref="F50:G50"/>
    <mergeCell ref="H50:I50"/>
    <mergeCell ref="J50:K50"/>
    <mergeCell ref="J52:K52"/>
    <mergeCell ref="J54:K54"/>
    <mergeCell ref="J56:K56"/>
    <mergeCell ref="A51:A52"/>
    <mergeCell ref="B51:C51"/>
    <mergeCell ref="D51:E51"/>
    <mergeCell ref="F51:G51"/>
    <mergeCell ref="A47:A48"/>
    <mergeCell ref="B47:I47"/>
    <mergeCell ref="J47:K48"/>
    <mergeCell ref="D43:E43"/>
    <mergeCell ref="F43:G43"/>
    <mergeCell ref="H43:I43"/>
    <mergeCell ref="J43:K43"/>
    <mergeCell ref="A44:A45"/>
    <mergeCell ref="B44:C44"/>
    <mergeCell ref="D44:E44"/>
    <mergeCell ref="F44:G44"/>
    <mergeCell ref="H44:I44"/>
    <mergeCell ref="J44:K44"/>
    <mergeCell ref="A42:A43"/>
    <mergeCell ref="B42:C42"/>
    <mergeCell ref="D42:E42"/>
    <mergeCell ref="F42:G42"/>
    <mergeCell ref="H42:I42"/>
    <mergeCell ref="J42:K42"/>
    <mergeCell ref="B43:C43"/>
    <mergeCell ref="B45:C45"/>
    <mergeCell ref="D45:E45"/>
    <mergeCell ref="F45:G45"/>
    <mergeCell ref="H45:I45"/>
    <mergeCell ref="J45:K45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D34:E34"/>
    <mergeCell ref="F34:G34"/>
    <mergeCell ref="H34:I34"/>
    <mergeCell ref="J34:K34"/>
    <mergeCell ref="B35:C35"/>
    <mergeCell ref="D35:E35"/>
    <mergeCell ref="F35:G35"/>
    <mergeCell ref="H35:I35"/>
    <mergeCell ref="J37:K37"/>
    <mergeCell ref="J33:K33"/>
    <mergeCell ref="J35:K35"/>
    <mergeCell ref="A30:A31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A32:A33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A34:A35"/>
    <mergeCell ref="B34:C34"/>
    <mergeCell ref="H27:I27"/>
    <mergeCell ref="A28:A29"/>
    <mergeCell ref="B28:C28"/>
    <mergeCell ref="D28:E28"/>
    <mergeCell ref="F28:G28"/>
    <mergeCell ref="H28:I28"/>
    <mergeCell ref="A19:A20"/>
    <mergeCell ref="K20:L20"/>
    <mergeCell ref="A21:A22"/>
    <mergeCell ref="A26:A27"/>
    <mergeCell ref="B26:I26"/>
    <mergeCell ref="J26:K27"/>
    <mergeCell ref="L26:M27"/>
    <mergeCell ref="B27:C27"/>
    <mergeCell ref="D27:E27"/>
    <mergeCell ref="F27:G27"/>
    <mergeCell ref="J28:K28"/>
    <mergeCell ref="L28:M45"/>
    <mergeCell ref="B29:C29"/>
    <mergeCell ref="D29:E29"/>
    <mergeCell ref="F29:G29"/>
    <mergeCell ref="H29:I29"/>
    <mergeCell ref="J29:K29"/>
    <mergeCell ref="J31:K31"/>
    <mergeCell ref="A11:A12"/>
    <mergeCell ref="K12:L12"/>
    <mergeCell ref="A13:A14"/>
    <mergeCell ref="K14:L14"/>
    <mergeCell ref="A15:A16"/>
    <mergeCell ref="A17:A18"/>
    <mergeCell ref="K18:L18"/>
    <mergeCell ref="A4:M4"/>
    <mergeCell ref="A9:B9"/>
    <mergeCell ref="D9:F9"/>
    <mergeCell ref="G9:G10"/>
    <mergeCell ref="H9:H10"/>
    <mergeCell ref="J9:J10"/>
  </mergeCells>
  <pageMargins left="0.19685039370078741" right="0.19685039370078741" top="0.19685039370078741" bottom="0.19685039370078741" header="0.27559055118110237" footer="0.19685039370078741"/>
  <pageSetup paperSize="9" orientation="landscape" r:id="rId1"/>
  <rowBreaks count="1" manualBreakCount="1">
    <brk id="126" max="12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62"/>
  <sheetViews>
    <sheetView topLeftCell="A65" zoomScaleNormal="100" zoomScaleSheetLayoutView="90" workbookViewId="0">
      <selection activeCell="K85" sqref="K85:M85"/>
    </sheetView>
  </sheetViews>
  <sheetFormatPr defaultRowHeight="15" x14ac:dyDescent="0.25"/>
  <cols>
    <col min="1" max="1" width="13.85546875" customWidth="1"/>
    <col min="2" max="2" width="7" customWidth="1"/>
    <col min="3" max="3" width="12" customWidth="1"/>
    <col min="4" max="5" width="12.42578125" customWidth="1"/>
    <col min="6" max="6" width="11.140625" customWidth="1"/>
    <col min="7" max="7" width="12.42578125" customWidth="1"/>
    <col min="8" max="8" width="10.7109375" style="5" customWidth="1"/>
    <col min="9" max="9" width="12.8554687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209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9.5" customHeight="1" x14ac:dyDescent="0.25">
      <c r="A6" s="1" t="s">
        <v>210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8.5" customHeight="1" x14ac:dyDescent="0.25">
      <c r="A9" s="524" t="s">
        <v>6</v>
      </c>
      <c r="B9" s="524"/>
      <c r="C9" s="9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9" t="s">
        <v>13</v>
      </c>
      <c r="L9" s="9" t="s">
        <v>14</v>
      </c>
      <c r="M9" s="9" t="s">
        <v>15</v>
      </c>
      <c r="N9" s="148"/>
    </row>
    <row r="10" spans="1:16" ht="18.75" customHeight="1" x14ac:dyDescent="0.25">
      <c r="A10" s="9" t="s">
        <v>16</v>
      </c>
      <c r="B10" s="9" t="s">
        <v>17</v>
      </c>
      <c r="C10" s="11"/>
      <c r="D10" s="9" t="s">
        <v>18</v>
      </c>
      <c r="E10" s="9" t="s">
        <v>19</v>
      </c>
      <c r="F10" s="9" t="s">
        <v>20</v>
      </c>
      <c r="G10" s="526"/>
      <c r="H10" s="527"/>
      <c r="I10" s="10" t="s">
        <v>21</v>
      </c>
      <c r="J10" s="526"/>
      <c r="K10" s="9" t="s">
        <v>22</v>
      </c>
      <c r="L10" s="9" t="s">
        <v>23</v>
      </c>
      <c r="M10" s="9" t="s">
        <v>24</v>
      </c>
    </row>
    <row r="11" spans="1:16" s="18" customFormat="1" ht="18" hidden="1" customHeight="1" x14ac:dyDescent="0.25">
      <c r="A11" s="530" t="s">
        <v>25</v>
      </c>
      <c r="B11" s="12" t="s">
        <v>21</v>
      </c>
      <c r="C11" s="116">
        <f>+G11*100/J12</f>
        <v>196980</v>
      </c>
      <c r="D11" s="117">
        <f>+$G$11*D12/100</f>
        <v>181457.97599999997</v>
      </c>
      <c r="E11" s="117">
        <f>+$G$11*E12/100</f>
        <v>5791.2119999999995</v>
      </c>
      <c r="F11" s="117">
        <f>+$G$11*F12/100</f>
        <v>5791.2119999999995</v>
      </c>
      <c r="G11" s="149">
        <f>+I11*H11</f>
        <v>193040.4</v>
      </c>
      <c r="H11" s="17">
        <v>14</v>
      </c>
      <c r="I11" s="17">
        <f>21*0.5*1340*0.98</f>
        <v>13788.6</v>
      </c>
      <c r="J11" s="12"/>
      <c r="K11" s="134"/>
      <c r="L11" s="150"/>
      <c r="M11" s="12"/>
      <c r="O11" s="19"/>
    </row>
    <row r="12" spans="1:16" s="18" customFormat="1" ht="18" hidden="1" customHeight="1" x14ac:dyDescent="0.25">
      <c r="A12" s="530"/>
      <c r="B12" s="12" t="s">
        <v>26</v>
      </c>
      <c r="C12" s="20"/>
      <c r="D12" s="21">
        <v>94</v>
      </c>
      <c r="E12" s="21">
        <v>3</v>
      </c>
      <c r="F12" s="21">
        <v>3</v>
      </c>
      <c r="G12" s="15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6" s="18" customFormat="1" ht="18" hidden="1" customHeight="1" x14ac:dyDescent="0.25">
      <c r="A13" s="530" t="s">
        <v>27</v>
      </c>
      <c r="B13" s="12" t="s">
        <v>21</v>
      </c>
      <c r="C13" s="151">
        <v>209653</v>
      </c>
      <c r="D13" s="15">
        <v>207028.5</v>
      </c>
      <c r="E13" s="14">
        <v>0</v>
      </c>
      <c r="F13" s="152">
        <v>1215</v>
      </c>
      <c r="G13" s="15">
        <f>SUM(D13:F13)</f>
        <v>208243.5</v>
      </c>
      <c r="H13" s="153">
        <v>14</v>
      </c>
      <c r="I13" s="26">
        <f>+G13/H13</f>
        <v>14874.535714285714</v>
      </c>
      <c r="J13" s="12"/>
      <c r="K13" s="152">
        <v>729</v>
      </c>
      <c r="L13" s="152">
        <v>603</v>
      </c>
      <c r="M13" s="12"/>
      <c r="N13" s="28"/>
      <c r="O13" s="19"/>
      <c r="P13" s="19">
        <f>+P12/10.9</f>
        <v>407273.39449541282</v>
      </c>
    </row>
    <row r="14" spans="1:16" s="18" customFormat="1" ht="18" hidden="1" customHeight="1" x14ac:dyDescent="0.25">
      <c r="A14" s="530"/>
      <c r="B14" s="12" t="s">
        <v>26</v>
      </c>
      <c r="C14" s="20"/>
      <c r="D14" s="21">
        <f>+D13/G13*100</f>
        <v>99.416548415676843</v>
      </c>
      <c r="E14" s="29">
        <f>+E13/G13*100</f>
        <v>0</v>
      </c>
      <c r="F14" s="29">
        <f>+F13/G13*100</f>
        <v>0.58345158432316013</v>
      </c>
      <c r="G14" s="15">
        <f t="shared" ref="G14" si="0">SUM(D14:F14)</f>
        <v>100</v>
      </c>
      <c r="H14" s="153"/>
      <c r="I14" s="23"/>
      <c r="J14" s="30">
        <f>+G13/C13*100</f>
        <v>99.327698625824581</v>
      </c>
      <c r="K14" s="534">
        <f>100-J14</f>
        <v>0.67230137417541869</v>
      </c>
      <c r="L14" s="534"/>
      <c r="M14" s="31">
        <v>75</v>
      </c>
      <c r="O14" s="28"/>
      <c r="P14" s="18">
        <f>+P13*2390</f>
        <v>973383412.8440367</v>
      </c>
    </row>
    <row r="15" spans="1:16" s="18" customFormat="1" ht="20.25" hidden="1" customHeight="1" x14ac:dyDescent="0.25">
      <c r="A15" s="530" t="s">
        <v>28</v>
      </c>
      <c r="B15" s="12" t="s">
        <v>21</v>
      </c>
      <c r="C15" s="15">
        <f>+C13-C11</f>
        <v>12673</v>
      </c>
      <c r="D15" s="13">
        <f>+D13-D11</f>
        <v>25570.524000000034</v>
      </c>
      <c r="E15" s="32">
        <f>+(E13-E11)</f>
        <v>-5791.2119999999995</v>
      </c>
      <c r="F15" s="14">
        <f>+F13-F11</f>
        <v>-4576.2119999999995</v>
      </c>
      <c r="G15" s="15">
        <f>SUM(D15:F15)</f>
        <v>15203.100000000035</v>
      </c>
      <c r="H15" s="153"/>
      <c r="I15" s="23"/>
      <c r="J15" s="13"/>
      <c r="K15" s="33"/>
      <c r="L15" s="33"/>
      <c r="M15" s="12"/>
      <c r="N15" s="34"/>
      <c r="P15" s="18">
        <f>+P14/418800</f>
        <v>2324.2201834862385</v>
      </c>
    </row>
    <row r="16" spans="1:16" s="18" customFormat="1" ht="18.75" hidden="1" customHeight="1" x14ac:dyDescent="0.25">
      <c r="A16" s="530"/>
      <c r="B16" s="12" t="s">
        <v>26</v>
      </c>
      <c r="C16" s="20"/>
      <c r="D16" s="35">
        <f>+D14-D12</f>
        <v>5.4165484156768429</v>
      </c>
      <c r="E16" s="36">
        <f>+E14-E12</f>
        <v>-3</v>
      </c>
      <c r="F16" s="37">
        <f>+F14-F12</f>
        <v>-2.4165484156768398</v>
      </c>
      <c r="G16" s="23">
        <v>0</v>
      </c>
      <c r="H16" s="153"/>
      <c r="I16" s="23"/>
      <c r="J16" s="12"/>
      <c r="K16" s="33"/>
      <c r="L16" s="33"/>
      <c r="M16" s="12"/>
      <c r="N16" s="34">
        <f>97.5+1.29</f>
        <v>98.79</v>
      </c>
    </row>
    <row r="17" spans="1:16" s="18" customFormat="1" ht="15.75" customHeight="1" x14ac:dyDescent="0.25">
      <c r="A17" s="642" t="s">
        <v>169</v>
      </c>
      <c r="B17" s="12" t="s">
        <v>21</v>
      </c>
      <c r="C17" s="121">
        <f>+G17*100/J18</f>
        <v>454137.59999999998</v>
      </c>
      <c r="D17" s="117">
        <f>+G17*D18/100</f>
        <v>400549.36320000002</v>
      </c>
      <c r="E17" s="117">
        <f>+G17*E18/100</f>
        <v>31153.839359999998</v>
      </c>
      <c r="F17" s="117">
        <f>+G17*F18/100</f>
        <v>13351.64544</v>
      </c>
      <c r="G17" s="117">
        <f>+I17*H17</f>
        <v>445054.848</v>
      </c>
      <c r="H17" s="17">
        <v>31</v>
      </c>
      <c r="I17" s="17">
        <f>10.9*0.96*1400*0.98</f>
        <v>14356.608</v>
      </c>
      <c r="J17" s="12"/>
      <c r="K17" s="134"/>
      <c r="L17" s="134"/>
      <c r="M17" s="12"/>
      <c r="O17" s="19"/>
    </row>
    <row r="18" spans="1:16" s="18" customFormat="1" ht="12.75" customHeight="1" x14ac:dyDescent="0.25">
      <c r="A18" s="642"/>
      <c r="B18" s="12" t="s">
        <v>26</v>
      </c>
      <c r="C18" s="154"/>
      <c r="D18" s="125">
        <v>90</v>
      </c>
      <c r="E18" s="125">
        <v>7</v>
      </c>
      <c r="F18" s="125">
        <v>3</v>
      </c>
      <c r="G18" s="15">
        <v>100</v>
      </c>
      <c r="H18" s="153"/>
      <c r="I18" s="23"/>
      <c r="J18" s="13">
        <v>98</v>
      </c>
      <c r="K18" s="533">
        <v>2</v>
      </c>
      <c r="L18" s="533"/>
      <c r="M18" s="25">
        <v>40</v>
      </c>
      <c r="O18" s="19"/>
      <c r="P18" s="19"/>
    </row>
    <row r="19" spans="1:16" s="18" customFormat="1" ht="18" customHeight="1" x14ac:dyDescent="0.25">
      <c r="A19" s="642" t="s">
        <v>211</v>
      </c>
      <c r="B19" s="12" t="s">
        <v>21</v>
      </c>
      <c r="C19" s="151">
        <v>149733</v>
      </c>
      <c r="D19" s="15">
        <v>142680.00000000003</v>
      </c>
      <c r="E19" s="152">
        <v>0</v>
      </c>
      <c r="F19" s="152">
        <v>7974.4</v>
      </c>
      <c r="G19" s="15">
        <f>+F19+D19</f>
        <v>150654.40000000002</v>
      </c>
      <c r="H19" s="153">
        <v>10</v>
      </c>
      <c r="I19" s="26">
        <f>G19/H19</f>
        <v>15065.440000000002</v>
      </c>
      <c r="J19" s="155"/>
      <c r="K19" s="152">
        <v>574.40000000000009</v>
      </c>
      <c r="L19" s="156">
        <v>732.8</v>
      </c>
      <c r="M19" s="12"/>
      <c r="N19" s="28"/>
      <c r="O19" s="19"/>
      <c r="P19" s="19"/>
    </row>
    <row r="20" spans="1:16" s="18" customFormat="1" ht="20.25" customHeight="1" x14ac:dyDescent="0.25">
      <c r="A20" s="642"/>
      <c r="B20" s="12" t="s">
        <v>26</v>
      </c>
      <c r="C20" s="20"/>
      <c r="D20" s="21">
        <f>+D19/G19*100</f>
        <v>94.706825688463141</v>
      </c>
      <c r="E20" s="29">
        <f>+E19/G19*100</f>
        <v>0</v>
      </c>
      <c r="F20" s="29">
        <f>+F19/G19*100</f>
        <v>5.2931743115368679</v>
      </c>
      <c r="G20" s="15">
        <f t="shared" ref="G20" si="1">SUM(D20:F20)</f>
        <v>100.00000000000001</v>
      </c>
      <c r="H20" s="22"/>
      <c r="I20" s="23"/>
      <c r="J20" s="30">
        <f>+G19/C19*100</f>
        <v>100.61536201104634</v>
      </c>
      <c r="K20" s="534">
        <v>1</v>
      </c>
      <c r="L20" s="534"/>
      <c r="M20" s="31">
        <v>42</v>
      </c>
      <c r="O20" s="28"/>
    </row>
    <row r="21" spans="1:16" s="18" customFormat="1" ht="18.75" customHeight="1" x14ac:dyDescent="0.25">
      <c r="A21" s="642" t="s">
        <v>212</v>
      </c>
      <c r="B21" s="12" t="s">
        <v>21</v>
      </c>
      <c r="C21" s="151">
        <v>316406</v>
      </c>
      <c r="D21" s="15">
        <v>292179.20000000001</v>
      </c>
      <c r="E21" s="152">
        <v>0</v>
      </c>
      <c r="F21" s="152">
        <v>16897.599999999999</v>
      </c>
      <c r="G21" s="15">
        <f>+F21+D21</f>
        <v>309076.8</v>
      </c>
      <c r="H21" s="153">
        <v>21</v>
      </c>
      <c r="I21" s="26">
        <f>G21/H21</f>
        <v>14717.942857142856</v>
      </c>
      <c r="J21" s="155"/>
      <c r="K21" s="152">
        <v>1332.8000000000002</v>
      </c>
      <c r="L21" s="156">
        <v>1297.6000000000001</v>
      </c>
      <c r="M21" s="12"/>
      <c r="N21" s="28"/>
      <c r="O21" s="19"/>
      <c r="P21" s="19"/>
    </row>
    <row r="22" spans="1:16" s="18" customFormat="1" ht="20.25" customHeight="1" x14ac:dyDescent="0.25">
      <c r="A22" s="642"/>
      <c r="B22" s="12" t="s">
        <v>26</v>
      </c>
      <c r="C22" s="20"/>
      <c r="D22" s="21">
        <f>+D21/G21*100</f>
        <v>94.532879853809803</v>
      </c>
      <c r="E22" s="29">
        <f>+E21/G21*100</f>
        <v>0</v>
      </c>
      <c r="F22" s="29">
        <f>+F21/G21*100</f>
        <v>5.4671201461902026</v>
      </c>
      <c r="G22" s="15">
        <f t="shared" ref="G22" si="2">SUM(D22:F22)</f>
        <v>100</v>
      </c>
      <c r="H22" s="22"/>
      <c r="I22" s="23"/>
      <c r="J22" s="30">
        <f>+G21/C21*100</f>
        <v>97.683609033962696</v>
      </c>
      <c r="K22" s="534">
        <v>1</v>
      </c>
      <c r="L22" s="534"/>
      <c r="M22" s="31">
        <v>15</v>
      </c>
      <c r="O22" s="28"/>
    </row>
    <row r="23" spans="1:16" s="18" customFormat="1" ht="16.5" customHeight="1" x14ac:dyDescent="0.25">
      <c r="A23" s="642" t="s">
        <v>213</v>
      </c>
      <c r="B23" s="12" t="s">
        <v>21</v>
      </c>
      <c r="C23" s="151">
        <f>+C21+C19</f>
        <v>466139</v>
      </c>
      <c r="D23" s="15">
        <f>+D19+D21</f>
        <v>434859.20000000007</v>
      </c>
      <c r="E23" s="152">
        <v>0</v>
      </c>
      <c r="F23" s="152">
        <f>+F19+F21</f>
        <v>24872</v>
      </c>
      <c r="G23" s="15">
        <f>+F23+D23</f>
        <v>459731.20000000007</v>
      </c>
      <c r="H23" s="153">
        <v>31</v>
      </c>
      <c r="I23" s="26">
        <f>G23/H23</f>
        <v>14830.038709677421</v>
      </c>
      <c r="J23" s="155"/>
      <c r="K23" s="152">
        <f>+K21+K19</f>
        <v>1907.2000000000003</v>
      </c>
      <c r="L23" s="156">
        <f>+L21+L19</f>
        <v>2030.4</v>
      </c>
      <c r="M23" s="12"/>
      <c r="N23" s="28"/>
      <c r="O23" s="19"/>
      <c r="P23" s="19"/>
    </row>
    <row r="24" spans="1:16" s="18" customFormat="1" ht="13.5" customHeight="1" x14ac:dyDescent="0.25">
      <c r="A24" s="642"/>
      <c r="B24" s="12" t="s">
        <v>26</v>
      </c>
      <c r="C24" s="20"/>
      <c r="D24" s="21">
        <f>+D23/G23*100</f>
        <v>94.589882087619898</v>
      </c>
      <c r="E24" s="29">
        <f>+E23/G23*100</f>
        <v>0</v>
      </c>
      <c r="F24" s="29">
        <f>+F23/G23*100</f>
        <v>5.4101179123801035</v>
      </c>
      <c r="G24" s="15">
        <f t="shared" ref="G24" si="3">SUM(D24:F24)</f>
        <v>100</v>
      </c>
      <c r="H24" s="22"/>
      <c r="I24" s="23"/>
      <c r="J24" s="30">
        <f>+G23/C23*100</f>
        <v>98.625345658698379</v>
      </c>
      <c r="K24" s="534">
        <v>1</v>
      </c>
      <c r="L24" s="534"/>
      <c r="M24" s="31">
        <f>(M20/H23*H19)+(M22/H23*H21)</f>
        <v>23.70967741935484</v>
      </c>
      <c r="O24" s="28"/>
    </row>
    <row r="25" spans="1:16" s="18" customFormat="1" ht="15.75" customHeight="1" x14ac:dyDescent="0.25">
      <c r="A25" s="642" t="s">
        <v>171</v>
      </c>
      <c r="B25" s="12" t="s">
        <v>21</v>
      </c>
      <c r="C25" s="15">
        <f>+C23-C17</f>
        <v>12001.400000000023</v>
      </c>
      <c r="D25" s="15">
        <f t="shared" ref="D25:G25" si="4">+D23-D17</f>
        <v>34309.836800000048</v>
      </c>
      <c r="E25" s="15">
        <f t="shared" si="4"/>
        <v>-31153.839359999998</v>
      </c>
      <c r="F25" s="15">
        <f t="shared" si="4"/>
        <v>11520.35456</v>
      </c>
      <c r="G25" s="15">
        <f t="shared" si="4"/>
        <v>14676.352000000072</v>
      </c>
      <c r="H25" s="22"/>
      <c r="I25" s="23"/>
      <c r="J25" s="13"/>
      <c r="K25" s="33"/>
      <c r="L25" s="33"/>
      <c r="M25" s="12"/>
      <c r="N25" s="34"/>
    </row>
    <row r="26" spans="1:16" s="18" customFormat="1" ht="15.75" customHeight="1" x14ac:dyDescent="0.25">
      <c r="A26" s="642"/>
      <c r="B26" s="12" t="s">
        <v>26</v>
      </c>
      <c r="C26" s="20"/>
      <c r="D26" s="35">
        <f>+D20-D18</f>
        <v>4.706825688463141</v>
      </c>
      <c r="E26" s="36">
        <f>+E20-E18</f>
        <v>-7</v>
      </c>
      <c r="F26" s="37">
        <f>+F20-F18</f>
        <v>2.2931743115368679</v>
      </c>
      <c r="G26" s="23">
        <v>0</v>
      </c>
      <c r="H26" s="22"/>
      <c r="I26" s="23"/>
      <c r="J26" s="12"/>
      <c r="K26" s="33"/>
      <c r="L26" s="33"/>
      <c r="M26" s="12"/>
      <c r="N26" s="34">
        <f>97.5+1.29</f>
        <v>98.79</v>
      </c>
    </row>
    <row r="27" spans="1:16" ht="14.25" customHeight="1" x14ac:dyDescent="0.25">
      <c r="A27" s="1" t="s">
        <v>214</v>
      </c>
      <c r="B27" s="7"/>
      <c r="C27" s="7"/>
      <c r="D27" s="7"/>
      <c r="E27" s="7"/>
      <c r="F27" s="7"/>
      <c r="G27" s="7"/>
      <c r="J27" s="7"/>
      <c r="K27" s="7"/>
      <c r="L27" s="7"/>
      <c r="M27" s="7"/>
    </row>
    <row r="28" spans="1:16" ht="13.5" customHeight="1" x14ac:dyDescent="0.25">
      <c r="A28" s="1" t="s">
        <v>30</v>
      </c>
      <c r="B28" s="7"/>
      <c r="C28" s="7"/>
      <c r="D28" s="7"/>
      <c r="E28" s="7"/>
      <c r="F28" s="7"/>
      <c r="G28" s="7"/>
      <c r="J28" s="7"/>
      <c r="K28" s="7"/>
      <c r="L28" s="7"/>
      <c r="M28" s="7"/>
    </row>
    <row r="29" spans="1:16" ht="16.5" customHeight="1" x14ac:dyDescent="0.25">
      <c r="A29" s="2" t="s">
        <v>215</v>
      </c>
      <c r="B29" s="7"/>
      <c r="C29" s="7"/>
      <c r="D29" s="7"/>
      <c r="E29" s="7"/>
      <c r="F29" s="7"/>
      <c r="G29" s="7"/>
      <c r="J29" s="7"/>
      <c r="K29" s="7"/>
      <c r="L29" s="7"/>
      <c r="M29" s="7"/>
    </row>
    <row r="30" spans="1:16" s="38" customFormat="1" ht="14.25" customHeight="1" x14ac:dyDescent="0.25">
      <c r="A30" s="524" t="s">
        <v>32</v>
      </c>
      <c r="B30" s="542" t="s">
        <v>33</v>
      </c>
      <c r="C30" s="542"/>
      <c r="D30" s="542"/>
      <c r="E30" s="542"/>
      <c r="F30" s="542"/>
      <c r="G30" s="542"/>
      <c r="H30" s="542"/>
      <c r="I30" s="542"/>
      <c r="J30" s="543" t="s">
        <v>34</v>
      </c>
      <c r="K30" s="544"/>
      <c r="L30" s="524" t="s">
        <v>35</v>
      </c>
      <c r="M30" s="524"/>
      <c r="O30" s="38" t="s">
        <v>181</v>
      </c>
    </row>
    <row r="31" spans="1:16" s="38" customFormat="1" ht="12.75" customHeight="1" x14ac:dyDescent="0.25">
      <c r="A31" s="524"/>
      <c r="B31" s="528" t="s">
        <v>18</v>
      </c>
      <c r="C31" s="529"/>
      <c r="D31" s="528" t="s">
        <v>19</v>
      </c>
      <c r="E31" s="529"/>
      <c r="F31" s="528" t="s">
        <v>20</v>
      </c>
      <c r="G31" s="529"/>
      <c r="H31" s="528" t="s">
        <v>36</v>
      </c>
      <c r="I31" s="529"/>
      <c r="J31" s="545"/>
      <c r="K31" s="546"/>
      <c r="L31" s="524"/>
      <c r="M31" s="524"/>
    </row>
    <row r="32" spans="1:16" s="38" customFormat="1" ht="15.75" customHeight="1" x14ac:dyDescent="0.25">
      <c r="A32" s="535" t="s">
        <v>37</v>
      </c>
      <c r="B32" s="536">
        <f>+[4]T5.2026!$D$24</f>
        <v>75995.200000000026</v>
      </c>
      <c r="C32" s="537"/>
      <c r="D32" s="536"/>
      <c r="E32" s="537"/>
      <c r="F32" s="536">
        <f>+[4]T5.2026!$D$26</f>
        <v>4536.0000000000009</v>
      </c>
      <c r="G32" s="537"/>
      <c r="H32" s="538">
        <f>+B32+D32+F32</f>
        <v>80531.200000000026</v>
      </c>
      <c r="I32" s="539"/>
      <c r="J32" s="540"/>
      <c r="K32" s="541"/>
      <c r="L32" s="564"/>
      <c r="M32" s="565"/>
    </row>
    <row r="33" spans="1:13" s="38" customFormat="1" ht="15.75" customHeight="1" x14ac:dyDescent="0.25">
      <c r="A33" s="535"/>
      <c r="B33" s="550">
        <f>+B32/$H$32*100</f>
        <v>94.367400460939365</v>
      </c>
      <c r="C33" s="551" t="e">
        <f>+C32/C48*100</f>
        <v>#REF!</v>
      </c>
      <c r="D33" s="550">
        <f t="shared" ref="D33" si="5">+D32/$H$32*100</f>
        <v>0</v>
      </c>
      <c r="E33" s="551" t="e">
        <f>+E32/E48*100</f>
        <v>#REF!</v>
      </c>
      <c r="F33" s="550">
        <f t="shared" ref="F33" si="6">+F32/$H$32*100</f>
        <v>5.632599539060636</v>
      </c>
      <c r="G33" s="551" t="e">
        <f>+G32/G48*100</f>
        <v>#REF!</v>
      </c>
      <c r="H33" s="550">
        <f>+H32/$H$32*100</f>
        <v>100</v>
      </c>
      <c r="I33" s="551" t="e">
        <f>+I32/I48*100</f>
        <v>#REF!</v>
      </c>
      <c r="J33" s="549">
        <f>+H32/$H$48*100</f>
        <v>53.454263532960212</v>
      </c>
      <c r="K33" s="541"/>
      <c r="L33" s="566"/>
      <c r="M33" s="567"/>
    </row>
    <row r="34" spans="1:13" s="38" customFormat="1" ht="15.75" customHeight="1" x14ac:dyDescent="0.25">
      <c r="A34" s="535" t="s">
        <v>38</v>
      </c>
      <c r="B34" s="536">
        <f>+[4]T5.2026!$F$24</f>
        <v>3136</v>
      </c>
      <c r="C34" s="537"/>
      <c r="D34" s="536"/>
      <c r="E34" s="537"/>
      <c r="F34" s="536">
        <f>+[4]T5.2026!$F$26</f>
        <v>128</v>
      </c>
      <c r="G34" s="537"/>
      <c r="H34" s="547">
        <f>+B34+D34+F34</f>
        <v>3264</v>
      </c>
      <c r="I34" s="548"/>
      <c r="J34" s="549"/>
      <c r="K34" s="541"/>
      <c r="L34" s="566"/>
      <c r="M34" s="567"/>
    </row>
    <row r="35" spans="1:13" s="38" customFormat="1" ht="15.75" customHeight="1" x14ac:dyDescent="0.25">
      <c r="A35" s="535"/>
      <c r="B35" s="550">
        <f>+B34/$H$34*100</f>
        <v>96.078431372549019</v>
      </c>
      <c r="C35" s="551" t="e">
        <f>+C34/C42*100</f>
        <v>#DIV/0!</v>
      </c>
      <c r="D35" s="550">
        <f t="shared" ref="D35" si="7">+D34/$H$34*100</f>
        <v>0</v>
      </c>
      <c r="E35" s="551" t="e">
        <f t="shared" ref="E35" si="8">+E34/E42*100</f>
        <v>#DIV/0!</v>
      </c>
      <c r="F35" s="550">
        <f t="shared" ref="F35" si="9">+F34/$H$34*100</f>
        <v>3.9215686274509802</v>
      </c>
      <c r="G35" s="551" t="e">
        <f t="shared" ref="G35" si="10">+G34/G42*100</f>
        <v>#DIV/0!</v>
      </c>
      <c r="H35" s="550">
        <f t="shared" ref="H35" si="11">+H34/$H$34*100</f>
        <v>100</v>
      </c>
      <c r="I35" s="551" t="e">
        <f t="shared" ref="I35" si="12">+I34/I42*100</f>
        <v>#DIV/0!</v>
      </c>
      <c r="J35" s="549">
        <f>+H34/$H$48*100</f>
        <v>2.1665480729404512</v>
      </c>
      <c r="K35" s="541"/>
      <c r="L35" s="566"/>
      <c r="M35" s="567"/>
    </row>
    <row r="36" spans="1:13" s="38" customFormat="1" ht="14.25" customHeight="1" x14ac:dyDescent="0.25">
      <c r="A36" s="552" t="s">
        <v>177</v>
      </c>
      <c r="B36" s="556">
        <f>+[4]T5.2026!$H$24</f>
        <v>12752</v>
      </c>
      <c r="C36" s="529"/>
      <c r="D36" s="536"/>
      <c r="E36" s="537"/>
      <c r="F36" s="536">
        <f>+[4]T5.2026!$H$26</f>
        <v>920</v>
      </c>
      <c r="G36" s="537"/>
      <c r="H36" s="547">
        <f>+B36+D36+F36</f>
        <v>13672</v>
      </c>
      <c r="I36" s="548"/>
      <c r="J36" s="549"/>
      <c r="K36" s="541"/>
      <c r="L36" s="566"/>
      <c r="M36" s="567"/>
    </row>
    <row r="37" spans="1:13" s="38" customFormat="1" ht="15.75" customHeight="1" x14ac:dyDescent="0.25">
      <c r="A37" s="553"/>
      <c r="B37" s="550">
        <f t="shared" ref="B37" si="13">+B36/$H$34*100</f>
        <v>390.68627450980392</v>
      </c>
      <c r="C37" s="551" t="e">
        <f>+C36/#REF!*100</f>
        <v>#REF!</v>
      </c>
      <c r="D37" s="550">
        <f t="shared" ref="D37" si="14">+D36/$H$36*100</f>
        <v>0</v>
      </c>
      <c r="E37" s="551"/>
      <c r="F37" s="550">
        <f t="shared" ref="F37" si="15">+F36/$H$36*100</f>
        <v>6.7290813341135163</v>
      </c>
      <c r="G37" s="551"/>
      <c r="H37" s="550">
        <f t="shared" ref="H37" si="16">+H36/$H$36*100</f>
        <v>100</v>
      </c>
      <c r="I37" s="551"/>
      <c r="J37" s="549">
        <f>+H36/$H$48*100</f>
        <v>9.0750751388608624</v>
      </c>
      <c r="K37" s="541"/>
      <c r="L37" s="566"/>
      <c r="M37" s="567"/>
    </row>
    <row r="38" spans="1:13" s="38" customFormat="1" ht="15" customHeight="1" x14ac:dyDescent="0.25">
      <c r="A38" s="500" t="s">
        <v>40</v>
      </c>
      <c r="B38" s="536">
        <f>+[4]T5.2026!$N$24</f>
        <v>4972.8</v>
      </c>
      <c r="C38" s="537"/>
      <c r="D38" s="536"/>
      <c r="E38" s="537"/>
      <c r="F38" s="536">
        <f>+[4]T5.2026!$N$26</f>
        <v>406.4</v>
      </c>
      <c r="G38" s="537"/>
      <c r="H38" s="547">
        <f>+B38+D38+F38</f>
        <v>5379.2</v>
      </c>
      <c r="I38" s="548"/>
      <c r="J38" s="549"/>
      <c r="K38" s="541"/>
      <c r="L38" s="566"/>
      <c r="M38" s="567"/>
    </row>
    <row r="39" spans="1:13" s="38" customFormat="1" ht="15" customHeight="1" x14ac:dyDescent="0.25">
      <c r="A39" s="500"/>
      <c r="B39" s="554">
        <f>+B38/$H$38*100</f>
        <v>92.444973230220114</v>
      </c>
      <c r="C39" s="555" t="e">
        <f>+C38/C40*100</f>
        <v>#DIV/0!</v>
      </c>
      <c r="D39" s="554">
        <f t="shared" ref="D39" si="17">+D38/$H$38*100</f>
        <v>0</v>
      </c>
      <c r="E39" s="555" t="e">
        <f t="shared" ref="E39" si="18">+E38/E40*100</f>
        <v>#DIV/0!</v>
      </c>
      <c r="F39" s="554">
        <f t="shared" ref="F39" si="19">+F38/$H$38*100</f>
        <v>7.555026769779893</v>
      </c>
      <c r="G39" s="555" t="e">
        <f t="shared" ref="G39" si="20">+G38/G40*100</f>
        <v>#DIV/0!</v>
      </c>
      <c r="H39" s="554">
        <f t="shared" ref="H39" si="21">+H38/$H$38*100</f>
        <v>100</v>
      </c>
      <c r="I39" s="555" t="e">
        <f t="shared" ref="I39" si="22">+I38/I40*100</f>
        <v>#DIV/0!</v>
      </c>
      <c r="J39" s="549">
        <f>+H38/$H$48*100</f>
        <v>3.5705561868753914</v>
      </c>
      <c r="K39" s="541"/>
      <c r="L39" s="566"/>
      <c r="M39" s="567"/>
    </row>
    <row r="40" spans="1:13" s="38" customFormat="1" ht="15" customHeight="1" x14ac:dyDescent="0.25">
      <c r="A40" s="500" t="s">
        <v>42</v>
      </c>
      <c r="B40" s="536">
        <f>+[4]T5.2026!$P$24</f>
        <v>8035.2000000000007</v>
      </c>
      <c r="C40" s="537"/>
      <c r="D40" s="536"/>
      <c r="E40" s="537"/>
      <c r="F40" s="536">
        <f>+[4]T5.2026!$P$26</f>
        <v>387.20000000000005</v>
      </c>
      <c r="G40" s="537"/>
      <c r="H40" s="547">
        <f>+B40+D40+F40</f>
        <v>8422.4000000000015</v>
      </c>
      <c r="I40" s="548"/>
      <c r="J40" s="549"/>
      <c r="K40" s="541"/>
      <c r="L40" s="566"/>
      <c r="M40" s="567"/>
    </row>
    <row r="41" spans="1:13" s="38" customFormat="1" ht="15.75" customHeight="1" x14ac:dyDescent="0.25">
      <c r="A41" s="500"/>
      <c r="B41" s="554">
        <f>+B40/$H$40*100</f>
        <v>95.402735562310028</v>
      </c>
      <c r="C41" s="555" t="e">
        <f>+C40/C42*100</f>
        <v>#DIV/0!</v>
      </c>
      <c r="D41" s="554">
        <f t="shared" ref="D41" si="23">+D40/$H$40*100</f>
        <v>0</v>
      </c>
      <c r="E41" s="555" t="e">
        <f t="shared" ref="E41" si="24">+E40/E42*100</f>
        <v>#DIV/0!</v>
      </c>
      <c r="F41" s="554">
        <f t="shared" ref="F41" si="25">+F40/$H$40*100</f>
        <v>4.5972644376899696</v>
      </c>
      <c r="G41" s="555" t="e">
        <f t="shared" ref="G41" si="26">+G40/G42*100</f>
        <v>#DIV/0!</v>
      </c>
      <c r="H41" s="554">
        <f t="shared" ref="H41" si="27">+H40/$H$40*100</f>
        <v>100</v>
      </c>
      <c r="I41" s="555" t="e">
        <f t="shared" ref="I41" si="28">+I40/I42*100</f>
        <v>#DIV/0!</v>
      </c>
      <c r="J41" s="549">
        <f>+H40/$H$48*100</f>
        <v>5.5905436548816363</v>
      </c>
      <c r="K41" s="541"/>
      <c r="L41" s="566"/>
      <c r="M41" s="567"/>
    </row>
    <row r="42" spans="1:13" s="38" customFormat="1" ht="15.75" customHeight="1" x14ac:dyDescent="0.25">
      <c r="A42" s="535" t="s">
        <v>39</v>
      </c>
      <c r="B42" s="536">
        <f>+[4]T5.2026!$D$31</f>
        <v>13889.6</v>
      </c>
      <c r="C42" s="537"/>
      <c r="D42" s="536"/>
      <c r="E42" s="537"/>
      <c r="F42" s="536">
        <f>+[4]T5.2026!$D$33</f>
        <v>475.19999999999993</v>
      </c>
      <c r="G42" s="537"/>
      <c r="H42" s="547">
        <f>+B42+D42+F42</f>
        <v>14364.800000000001</v>
      </c>
      <c r="I42" s="548"/>
      <c r="J42" s="549"/>
      <c r="K42" s="541"/>
      <c r="L42" s="566"/>
      <c r="M42" s="567"/>
    </row>
    <row r="43" spans="1:13" s="38" customFormat="1" ht="16.5" customHeight="1" x14ac:dyDescent="0.25">
      <c r="A43" s="535"/>
      <c r="B43" s="550">
        <f>+B42/$H$42*100</f>
        <v>96.691913566495884</v>
      </c>
      <c r="C43" s="551" t="e">
        <f>+C42/C48*100</f>
        <v>#REF!</v>
      </c>
      <c r="D43" s="550">
        <f t="shared" ref="D43" si="29">+D42/$H$42*100</f>
        <v>0</v>
      </c>
      <c r="E43" s="551" t="e">
        <f>+E42/E48*100</f>
        <v>#REF!</v>
      </c>
      <c r="F43" s="550">
        <f t="shared" ref="F43" si="30">+F42/$H$42*100</f>
        <v>3.3080864335041205</v>
      </c>
      <c r="G43" s="551" t="e">
        <f>+G42/G48*100</f>
        <v>#REF!</v>
      </c>
      <c r="H43" s="550">
        <f t="shared" ref="H43" si="31">+H42/$H$42*100</f>
        <v>100</v>
      </c>
      <c r="I43" s="551" t="e">
        <f>+I42/I48*100</f>
        <v>#REF!</v>
      </c>
      <c r="J43" s="549">
        <f>+H42/$H$48*100</f>
        <v>9.5349355876761646</v>
      </c>
      <c r="K43" s="541"/>
      <c r="L43" s="566"/>
      <c r="M43" s="567"/>
    </row>
    <row r="44" spans="1:13" s="38" customFormat="1" ht="16.5" customHeight="1" x14ac:dyDescent="0.25">
      <c r="A44" s="535" t="s">
        <v>117</v>
      </c>
      <c r="B44" s="536">
        <f>+[4]T5.2026!$F$31</f>
        <v>10619.2</v>
      </c>
      <c r="C44" s="537"/>
      <c r="D44" s="536"/>
      <c r="E44" s="537"/>
      <c r="F44" s="536">
        <f>+[4]T5.2026!$F$33</f>
        <v>454.4</v>
      </c>
      <c r="G44" s="537"/>
      <c r="H44" s="547">
        <f>+B44+D44+F44</f>
        <v>11073.6</v>
      </c>
      <c r="I44" s="548"/>
      <c r="J44" s="549"/>
      <c r="K44" s="541"/>
      <c r="L44" s="566"/>
      <c r="M44" s="567"/>
    </row>
    <row r="45" spans="1:13" s="38" customFormat="1" ht="16.5" customHeight="1" x14ac:dyDescent="0.25">
      <c r="A45" s="535"/>
      <c r="B45" s="554">
        <f>+B44/$H$40*100</f>
        <v>126.08282674772036</v>
      </c>
      <c r="C45" s="555" t="e">
        <f>+C44/C46*100</f>
        <v>#DIV/0!</v>
      </c>
      <c r="D45" s="554">
        <f t="shared" ref="D45" si="32">+D44/$H$40*100</f>
        <v>0</v>
      </c>
      <c r="E45" s="555" t="e">
        <f t="shared" ref="E45" si="33">+E44/E46*100</f>
        <v>#DIV/0!</v>
      </c>
      <c r="F45" s="554">
        <f t="shared" ref="F45" si="34">+F44/$H$40*100</f>
        <v>5.3951367781155</v>
      </c>
      <c r="G45" s="555" t="e">
        <f t="shared" ref="G45" si="35">+G44/G46*100</f>
        <v>#DIV/0!</v>
      </c>
      <c r="H45" s="554">
        <f>+H44/$H$44*100</f>
        <v>100</v>
      </c>
      <c r="I45" s="555" t="e">
        <f t="shared" ref="I45" si="36">+I44/I46*100</f>
        <v>#DIV/0!</v>
      </c>
      <c r="J45" s="549">
        <f>+H44/$H$48*100</f>
        <v>7.350332947461208</v>
      </c>
      <c r="K45" s="541"/>
      <c r="L45" s="566"/>
      <c r="M45" s="567"/>
    </row>
    <row r="46" spans="1:13" s="38" customFormat="1" ht="16.5" customHeight="1" x14ac:dyDescent="0.25">
      <c r="A46" s="535" t="s">
        <v>216</v>
      </c>
      <c r="B46" s="536">
        <f>+[4]T5.2026!$H$31</f>
        <v>13279.999999999998</v>
      </c>
      <c r="C46" s="537"/>
      <c r="D46" s="536"/>
      <c r="E46" s="537"/>
      <c r="F46" s="536">
        <f>+[4]T5.2026!$H$33</f>
        <v>667.19999999999993</v>
      </c>
      <c r="G46" s="537"/>
      <c r="H46" s="547">
        <f>+B46+D46+F46</f>
        <v>13947.199999999999</v>
      </c>
      <c r="I46" s="548"/>
      <c r="J46" s="549"/>
      <c r="K46" s="541"/>
      <c r="L46" s="566"/>
      <c r="M46" s="567"/>
    </row>
    <row r="47" spans="1:13" s="38" customFormat="1" ht="16.5" customHeight="1" x14ac:dyDescent="0.25">
      <c r="A47" s="535"/>
      <c r="B47" s="550">
        <f>+B46/$H$42*100</f>
        <v>92.448206727556226</v>
      </c>
      <c r="C47" s="551" t="e">
        <f>+C46/#REF!*100</f>
        <v>#REF!</v>
      </c>
      <c r="D47" s="550">
        <f t="shared" ref="D47" si="37">+D46/$H$42*100</f>
        <v>0</v>
      </c>
      <c r="E47" s="551" t="e">
        <f>+E46/#REF!*100</f>
        <v>#REF!</v>
      </c>
      <c r="F47" s="550">
        <f t="shared" ref="F47" si="38">+F46/$H$42*100</f>
        <v>4.6446870126977045</v>
      </c>
      <c r="G47" s="551" t="e">
        <f>+G46/#REF!*100</f>
        <v>#REF!</v>
      </c>
      <c r="H47" s="550">
        <f>+H46/$H$46*100</f>
        <v>100</v>
      </c>
      <c r="I47" s="551" t="e">
        <f>+I46/#REF!*100</f>
        <v>#REF!</v>
      </c>
      <c r="J47" s="549">
        <f>+H46/$H$48*100</f>
        <v>9.2577448783440754</v>
      </c>
      <c r="K47" s="541"/>
      <c r="L47" s="566"/>
      <c r="M47" s="567"/>
    </row>
    <row r="48" spans="1:13" s="38" customFormat="1" ht="16.5" customHeight="1" x14ac:dyDescent="0.25">
      <c r="A48" s="524" t="s">
        <v>43</v>
      </c>
      <c r="B48" s="556">
        <f>+B32+B34+B36+B38+B40+B42+B44+B46</f>
        <v>142680.00000000003</v>
      </c>
      <c r="C48" s="529" t="e">
        <f>+#REF!+#REF!+#REF!+#REF!+#REF!+C42+C32</f>
        <v>#REF!</v>
      </c>
      <c r="D48" s="556">
        <f t="shared" ref="D48" si="39">+D32+D34+D36+D38+D40+D42</f>
        <v>0</v>
      </c>
      <c r="E48" s="529" t="e">
        <f>+#REF!+#REF!+#REF!+#REF!+#REF!+E42+E32</f>
        <v>#REF!</v>
      </c>
      <c r="F48" s="556">
        <f>+F32+F34+F36+F38+F40+F42+F44+F46</f>
        <v>7974.4</v>
      </c>
      <c r="G48" s="529" t="e">
        <f>+#REF!+#REF!+#REF!+#REF!+#REF!+G42+G32</f>
        <v>#REF!</v>
      </c>
      <c r="H48" s="556">
        <f>+H32+H34+H36+H38+H40+H42+H44+H46</f>
        <v>150654.40000000002</v>
      </c>
      <c r="I48" s="529" t="e">
        <f>+#REF!+#REF!+#REF!+#REF!+#REF!+I42+I32</f>
        <v>#REF!</v>
      </c>
      <c r="J48" s="549"/>
      <c r="K48" s="541"/>
      <c r="L48" s="566"/>
      <c r="M48" s="567"/>
    </row>
    <row r="49" spans="1:15" s="38" customFormat="1" ht="16.5" customHeight="1" x14ac:dyDescent="0.25">
      <c r="A49" s="524"/>
      <c r="B49" s="550">
        <f>+B48/$H$48*100</f>
        <v>94.706825688463141</v>
      </c>
      <c r="C49" s="551" t="e">
        <f>+C33+C43+#REF!+#REF!+#REF!+#REF!</f>
        <v>#REF!</v>
      </c>
      <c r="D49" s="550">
        <f t="shared" ref="D49" si="40">+D48/$H$48*100</f>
        <v>0</v>
      </c>
      <c r="E49" s="551" t="e">
        <f>+E33+E43+#REF!+#REF!+#REF!+#REF!</f>
        <v>#REF!</v>
      </c>
      <c r="F49" s="550">
        <f t="shared" ref="F49" si="41">+F48/$H$48*100</f>
        <v>5.2931743115368679</v>
      </c>
      <c r="G49" s="551" t="e">
        <f>+G33+G43+#REF!+#REF!+#REF!+#REF!</f>
        <v>#REF!</v>
      </c>
      <c r="H49" s="550">
        <f>+H48/$H$48*100</f>
        <v>100</v>
      </c>
      <c r="I49" s="551" t="e">
        <f>+I33+I43+#REF!+#REF!+#REF!+#REF!</f>
        <v>#REF!</v>
      </c>
      <c r="J49" s="549">
        <f>+H48/$H$48*100</f>
        <v>100</v>
      </c>
      <c r="K49" s="541"/>
      <c r="L49" s="568"/>
      <c r="M49" s="569"/>
    </row>
    <row r="50" spans="1:15" ht="16.5" customHeight="1" x14ac:dyDescent="0.25">
      <c r="A50" s="2" t="s">
        <v>217</v>
      </c>
      <c r="B50" s="7"/>
      <c r="C50" s="7"/>
      <c r="D50" s="7"/>
      <c r="E50" s="7"/>
      <c r="F50" s="7"/>
      <c r="G50" s="7"/>
      <c r="J50" s="7"/>
      <c r="K50" s="7"/>
      <c r="L50" s="7"/>
      <c r="M50" s="7"/>
    </row>
    <row r="51" spans="1:15" s="38" customFormat="1" ht="16.5" customHeight="1" x14ac:dyDescent="0.25">
      <c r="A51" s="524" t="s">
        <v>32</v>
      </c>
      <c r="B51" s="542" t="s">
        <v>33</v>
      </c>
      <c r="C51" s="542"/>
      <c r="D51" s="542"/>
      <c r="E51" s="542"/>
      <c r="F51" s="542"/>
      <c r="G51" s="542"/>
      <c r="H51" s="542"/>
      <c r="I51" s="542"/>
      <c r="J51" s="543" t="s">
        <v>34</v>
      </c>
      <c r="K51" s="544"/>
      <c r="L51" s="524" t="s">
        <v>35</v>
      </c>
      <c r="M51" s="524"/>
      <c r="O51" s="38" t="s">
        <v>181</v>
      </c>
    </row>
    <row r="52" spans="1:15" s="38" customFormat="1" ht="16.5" customHeight="1" x14ac:dyDescent="0.25">
      <c r="A52" s="524"/>
      <c r="B52" s="528" t="s">
        <v>18</v>
      </c>
      <c r="C52" s="529"/>
      <c r="D52" s="528" t="s">
        <v>19</v>
      </c>
      <c r="E52" s="529"/>
      <c r="F52" s="528" t="s">
        <v>20</v>
      </c>
      <c r="G52" s="529"/>
      <c r="H52" s="528" t="s">
        <v>36</v>
      </c>
      <c r="I52" s="529"/>
      <c r="J52" s="545"/>
      <c r="K52" s="546"/>
      <c r="L52" s="524"/>
      <c r="M52" s="524"/>
    </row>
    <row r="53" spans="1:15" s="38" customFormat="1" ht="16.5" customHeight="1" x14ac:dyDescent="0.25">
      <c r="A53" s="637" t="s">
        <v>38</v>
      </c>
      <c r="B53" s="536">
        <f>+[4]T5.2026!$D$39</f>
        <v>8750.4</v>
      </c>
      <c r="C53" s="537"/>
      <c r="D53" s="536"/>
      <c r="E53" s="537"/>
      <c r="F53" s="536">
        <f>+[4]T5.2026!$D$41</f>
        <v>665.60000000000014</v>
      </c>
      <c r="G53" s="537"/>
      <c r="H53" s="538">
        <f>+B53+D53+F53</f>
        <v>9416</v>
      </c>
      <c r="I53" s="539"/>
      <c r="J53" s="540"/>
      <c r="K53" s="541"/>
      <c r="L53" s="564"/>
      <c r="M53" s="565"/>
    </row>
    <row r="54" spans="1:15" s="38" customFormat="1" ht="16.5" customHeight="1" x14ac:dyDescent="0.25">
      <c r="A54" s="637"/>
      <c r="B54" s="550">
        <f>+B53/$H$53*100</f>
        <v>92.931180968564149</v>
      </c>
      <c r="C54" s="551" t="e">
        <f>+C53/C71*100</f>
        <v>#REF!</v>
      </c>
      <c r="D54" s="550">
        <f t="shared" ref="D54" si="42">+D53/$H$32*100</f>
        <v>0</v>
      </c>
      <c r="E54" s="551" t="e">
        <f>+E53/E71*100</f>
        <v>#REF!</v>
      </c>
      <c r="F54" s="550">
        <f>+F53/$H$53*100</f>
        <v>7.0688190314358552</v>
      </c>
      <c r="G54" s="551" t="e">
        <f>+G53/G71*100</f>
        <v>#REF!</v>
      </c>
      <c r="H54" s="550">
        <f>+B54+F54</f>
        <v>100</v>
      </c>
      <c r="I54" s="551" t="e">
        <f>+I53/I71*100</f>
        <v>#REF!</v>
      </c>
      <c r="J54" s="549">
        <f>+H53/$H$71*100</f>
        <v>3.0464920045762085</v>
      </c>
      <c r="K54" s="541"/>
      <c r="L54" s="566"/>
      <c r="M54" s="567"/>
    </row>
    <row r="55" spans="1:15" s="38" customFormat="1" ht="16.5" customHeight="1" x14ac:dyDescent="0.25">
      <c r="A55" s="637" t="s">
        <v>37</v>
      </c>
      <c r="B55" s="536">
        <f>+[4]T5.2026!$F$39</f>
        <v>112126.39999999999</v>
      </c>
      <c r="C55" s="537"/>
      <c r="D55" s="536"/>
      <c r="E55" s="537"/>
      <c r="F55" s="536">
        <f>+[4]T5.2026!$F$41</f>
        <v>9668.7999999999993</v>
      </c>
      <c r="G55" s="537"/>
      <c r="H55" s="547">
        <f>+B55+D55+F55</f>
        <v>121795.2</v>
      </c>
      <c r="I55" s="548"/>
      <c r="J55" s="549"/>
      <c r="K55" s="541"/>
      <c r="L55" s="566"/>
      <c r="M55" s="567"/>
    </row>
    <row r="56" spans="1:15" s="38" customFormat="1" ht="16.5" customHeight="1" x14ac:dyDescent="0.25">
      <c r="A56" s="637"/>
      <c r="B56" s="550">
        <f>+B55/$H$55*100</f>
        <v>92.061427708152692</v>
      </c>
      <c r="C56" s="551" t="e">
        <f>+C55/C63*100</f>
        <v>#DIV/0!</v>
      </c>
      <c r="D56" s="550">
        <f t="shared" ref="D56" si="43">+D55/$H$34*100</f>
        <v>0</v>
      </c>
      <c r="E56" s="551" t="e">
        <f t="shared" ref="E56" si="44">+E55/E63*100</f>
        <v>#DIV/0!</v>
      </c>
      <c r="F56" s="550">
        <f>+F55/$H$55*100</f>
        <v>7.9385722918472972</v>
      </c>
      <c r="G56" s="643"/>
      <c r="H56" s="550">
        <f>+B56+F56</f>
        <v>99.999999999999986</v>
      </c>
      <c r="I56" s="551" t="e">
        <f>+I55/I73*100</f>
        <v>#DIV/0!</v>
      </c>
      <c r="J56" s="549">
        <f t="shared" ref="J56:J68" si="45">+H55/$H$71*100</f>
        <v>39.406128185615998</v>
      </c>
      <c r="K56" s="541"/>
      <c r="L56" s="566"/>
      <c r="M56" s="567"/>
    </row>
    <row r="57" spans="1:15" s="38" customFormat="1" ht="16.5" customHeight="1" x14ac:dyDescent="0.25">
      <c r="A57" s="637" t="s">
        <v>117</v>
      </c>
      <c r="B57" s="556">
        <f>+[4]T5.2026!$H$39</f>
        <v>62278.400000000016</v>
      </c>
      <c r="C57" s="529"/>
      <c r="D57" s="536"/>
      <c r="E57" s="537"/>
      <c r="F57" s="536">
        <f>+[4]T5.2026!$H$41</f>
        <v>3383.9999999999995</v>
      </c>
      <c r="G57" s="537"/>
      <c r="H57" s="547">
        <f>+B57+D57+F57</f>
        <v>65662.400000000009</v>
      </c>
      <c r="I57" s="548"/>
      <c r="J57" s="549"/>
      <c r="K57" s="541"/>
      <c r="L57" s="566"/>
      <c r="M57" s="567"/>
    </row>
    <row r="58" spans="1:15" s="38" customFormat="1" ht="16.5" customHeight="1" x14ac:dyDescent="0.25">
      <c r="A58" s="637"/>
      <c r="B58" s="550">
        <f>+B57/H57*100</f>
        <v>94.846365652184517</v>
      </c>
      <c r="C58" s="551" t="e">
        <f>+C57/#REF!*100</f>
        <v>#REF!</v>
      </c>
      <c r="D58" s="550">
        <f t="shared" ref="D58" si="46">+D57/$H$36*100</f>
        <v>0</v>
      </c>
      <c r="E58" s="551"/>
      <c r="F58" s="550">
        <f>+F57/$H$57*100</f>
        <v>5.1536343478154913</v>
      </c>
      <c r="G58" s="551" t="e">
        <f t="shared" ref="G58" si="47">+G57/G65*100</f>
        <v>#DIV/0!</v>
      </c>
      <c r="H58" s="550">
        <f>+H57/H57*100</f>
        <v>100</v>
      </c>
      <c r="I58" s="551" t="e">
        <f>+I57/I75*100</f>
        <v>#DIV/0!</v>
      </c>
      <c r="J58" s="549">
        <f t="shared" si="45"/>
        <v>21.244687404554465</v>
      </c>
      <c r="K58" s="541"/>
      <c r="L58" s="566"/>
      <c r="M58" s="567"/>
    </row>
    <row r="59" spans="1:15" s="38" customFormat="1" ht="16.5" customHeight="1" x14ac:dyDescent="0.25">
      <c r="A59" s="644" t="s">
        <v>178</v>
      </c>
      <c r="B59" s="536">
        <f>+[4]T5.2026!$N$39</f>
        <v>43427.200000000004</v>
      </c>
      <c r="C59" s="537"/>
      <c r="D59" s="536"/>
      <c r="E59" s="537"/>
      <c r="F59" s="536">
        <f>+[4]T5.2026!$N$41</f>
        <v>0</v>
      </c>
      <c r="G59" s="537"/>
      <c r="H59" s="547">
        <f>+B59+D59+F59</f>
        <v>43427.200000000004</v>
      </c>
      <c r="I59" s="548"/>
      <c r="J59" s="549"/>
      <c r="K59" s="541"/>
      <c r="L59" s="566"/>
      <c r="M59" s="567"/>
    </row>
    <row r="60" spans="1:15" s="38" customFormat="1" ht="16.5" customHeight="1" x14ac:dyDescent="0.25">
      <c r="A60" s="645"/>
      <c r="B60" s="554">
        <f>+B59/H59*100</f>
        <v>100</v>
      </c>
      <c r="C60" s="555" t="e">
        <f>+C59/C61*100</f>
        <v>#DIV/0!</v>
      </c>
      <c r="D60" s="554">
        <f t="shared" ref="D60" si="48">+D59/$H$38*100</f>
        <v>0</v>
      </c>
      <c r="E60" s="555" t="e">
        <f t="shared" ref="E60" si="49">+E59/E61*100</f>
        <v>#DIV/0!</v>
      </c>
      <c r="F60" s="554">
        <f t="shared" ref="F60" si="50">+F59/$H$38*100</f>
        <v>0</v>
      </c>
      <c r="G60" s="555" t="e">
        <f t="shared" ref="G60" si="51">+G59/G61*100</f>
        <v>#DIV/0!</v>
      </c>
      <c r="H60" s="550">
        <f>+H59/H59*100</f>
        <v>100</v>
      </c>
      <c r="I60" s="551">
        <f>+I59/I77*100</f>
        <v>0</v>
      </c>
      <c r="J60" s="549">
        <f t="shared" si="45"/>
        <v>14.050617839967284</v>
      </c>
      <c r="K60" s="541"/>
      <c r="L60" s="566"/>
      <c r="M60" s="567"/>
    </row>
    <row r="61" spans="1:15" s="38" customFormat="1" ht="16.5" customHeight="1" x14ac:dyDescent="0.25">
      <c r="A61" s="637" t="s">
        <v>42</v>
      </c>
      <c r="B61" s="536">
        <f>+[4]T5.2026!$P$39</f>
        <v>438.4</v>
      </c>
      <c r="C61" s="537"/>
      <c r="D61" s="536"/>
      <c r="E61" s="537"/>
      <c r="F61" s="536">
        <f>+[4]T5.2026!$P$41</f>
        <v>80</v>
      </c>
      <c r="G61" s="537"/>
      <c r="H61" s="547">
        <f>+B61+D61+F61</f>
        <v>518.4</v>
      </c>
      <c r="I61" s="548"/>
      <c r="J61" s="549"/>
      <c r="K61" s="541"/>
      <c r="L61" s="566"/>
      <c r="M61" s="567"/>
    </row>
    <row r="62" spans="1:15" s="38" customFormat="1" ht="16.5" customHeight="1" x14ac:dyDescent="0.25">
      <c r="A62" s="637"/>
      <c r="B62" s="554">
        <f>+B61/H61*100</f>
        <v>84.567901234567898</v>
      </c>
      <c r="C62" s="555" t="e">
        <f>+C61/C63*100</f>
        <v>#DIV/0!</v>
      </c>
      <c r="D62" s="554">
        <f t="shared" ref="D62" si="52">+D61/$H$40*100</f>
        <v>0</v>
      </c>
      <c r="E62" s="555" t="e">
        <f t="shared" ref="E62" si="53">+E61/E63*100</f>
        <v>#DIV/0!</v>
      </c>
      <c r="F62" s="550">
        <f>+F61/$H$61*100</f>
        <v>15.432098765432102</v>
      </c>
      <c r="G62" s="551" t="e">
        <f t="shared" ref="G62" si="54">+G61/G69*100</f>
        <v>#DIV/0!</v>
      </c>
      <c r="H62" s="550">
        <f>+H61/H61*100</f>
        <v>100</v>
      </c>
      <c r="I62" s="551" t="e">
        <f>+I61/#REF!*100</f>
        <v>#REF!</v>
      </c>
      <c r="J62" s="549">
        <f t="shared" si="45"/>
        <v>0.16772530322560603</v>
      </c>
      <c r="K62" s="541"/>
      <c r="L62" s="566"/>
      <c r="M62" s="567"/>
    </row>
    <row r="63" spans="1:15" s="38" customFormat="1" ht="16.5" customHeight="1" x14ac:dyDescent="0.25">
      <c r="A63" s="637" t="s">
        <v>173</v>
      </c>
      <c r="B63" s="536">
        <f>+[4]T5.2026!$D$46</f>
        <v>46681.599999999999</v>
      </c>
      <c r="C63" s="537"/>
      <c r="D63" s="536"/>
      <c r="E63" s="537"/>
      <c r="F63" s="536">
        <f>+[4]T5.2026!$D$48</f>
        <v>2129.6</v>
      </c>
      <c r="G63" s="537"/>
      <c r="H63" s="547">
        <f>+B63+D63+F63</f>
        <v>48811.199999999997</v>
      </c>
      <c r="I63" s="548"/>
      <c r="J63" s="549"/>
      <c r="K63" s="541"/>
      <c r="L63" s="566"/>
      <c r="M63" s="567"/>
    </row>
    <row r="64" spans="1:15" s="38" customFormat="1" ht="16.5" customHeight="1" x14ac:dyDescent="0.25">
      <c r="A64" s="637"/>
      <c r="B64" s="550">
        <f>+B63/H63*100</f>
        <v>95.637066902678086</v>
      </c>
      <c r="C64" s="551" t="e">
        <f>+C63/C71*100</f>
        <v>#REF!</v>
      </c>
      <c r="D64" s="550">
        <f t="shared" ref="D64" si="55">+D63/$H$42*100</f>
        <v>0</v>
      </c>
      <c r="E64" s="551" t="e">
        <f>+E63/E71*100</f>
        <v>#REF!</v>
      </c>
      <c r="F64" s="550">
        <f>+F63/$H$63*100</f>
        <v>4.3629330973219265</v>
      </c>
      <c r="G64" s="551" t="e">
        <f t="shared" ref="G64" si="56">+G63/G71*100</f>
        <v>#REF!</v>
      </c>
      <c r="H64" s="550">
        <f>+H63/H63*100</f>
        <v>100</v>
      </c>
      <c r="I64" s="551" t="e">
        <f>+I63/#REF!*100</f>
        <v>#REF!</v>
      </c>
      <c r="J64" s="549">
        <f t="shared" si="45"/>
        <v>15.792579708344331</v>
      </c>
      <c r="K64" s="541"/>
      <c r="L64" s="566"/>
      <c r="M64" s="567"/>
    </row>
    <row r="65" spans="1:19" s="38" customFormat="1" ht="16.5" customHeight="1" x14ac:dyDescent="0.25">
      <c r="A65" s="637" t="s">
        <v>218</v>
      </c>
      <c r="B65" s="536">
        <f>+[4]T5.2026!$F$46</f>
        <v>14904</v>
      </c>
      <c r="C65" s="537"/>
      <c r="D65" s="536"/>
      <c r="E65" s="537"/>
      <c r="F65" s="536">
        <f>+[4]T5.2026!$F$48</f>
        <v>824.00000000000011</v>
      </c>
      <c r="G65" s="537"/>
      <c r="H65" s="547">
        <f>+B65+D65+F65</f>
        <v>15728</v>
      </c>
      <c r="I65" s="548"/>
      <c r="J65" s="549"/>
      <c r="K65" s="541"/>
      <c r="L65" s="566"/>
      <c r="M65" s="567"/>
    </row>
    <row r="66" spans="1:19" s="38" customFormat="1" ht="16.5" customHeight="1" x14ac:dyDescent="0.25">
      <c r="A66" s="637"/>
      <c r="B66" s="554">
        <f>+B65/H65*100</f>
        <v>94.760935910478125</v>
      </c>
      <c r="C66" s="555" t="e">
        <f>+C65/C67*100</f>
        <v>#DIV/0!</v>
      </c>
      <c r="D66" s="554">
        <f t="shared" ref="D66" si="57">+D65/$H$40*100</f>
        <v>0</v>
      </c>
      <c r="E66" s="555" t="e">
        <f t="shared" ref="E66" si="58">+E65/E67*100</f>
        <v>#DIV/0!</v>
      </c>
      <c r="F66" s="550">
        <f>+F65/$H$65*100</f>
        <v>5.2390640895218725</v>
      </c>
      <c r="G66" s="551" t="e">
        <f t="shared" ref="G66" si="59">+G65/G73*100</f>
        <v>#DIV/0!</v>
      </c>
      <c r="H66" s="550">
        <f>+H65/H65*100</f>
        <v>100</v>
      </c>
      <c r="I66" s="551" t="e">
        <f>+I65/#REF!*100</f>
        <v>#REF!</v>
      </c>
      <c r="J66" s="549">
        <f t="shared" si="45"/>
        <v>5.088702872554653</v>
      </c>
      <c r="K66" s="541"/>
      <c r="L66" s="566"/>
      <c r="M66" s="567"/>
    </row>
    <row r="67" spans="1:19" s="38" customFormat="1" ht="16.5" customHeight="1" x14ac:dyDescent="0.25">
      <c r="A67" s="637" t="s">
        <v>40</v>
      </c>
      <c r="B67" s="536">
        <f>+[4]T5.2026!$H$46</f>
        <v>3572.8</v>
      </c>
      <c r="C67" s="537"/>
      <c r="D67" s="536"/>
      <c r="E67" s="537"/>
      <c r="F67" s="536">
        <f>+[4]T5.2026!$H$48</f>
        <v>145.6</v>
      </c>
      <c r="G67" s="537"/>
      <c r="H67" s="547">
        <f>+B67+D67+F67</f>
        <v>3718.4</v>
      </c>
      <c r="I67" s="548"/>
      <c r="J67" s="549"/>
      <c r="K67" s="541"/>
      <c r="L67" s="566"/>
      <c r="M67" s="567"/>
    </row>
    <row r="68" spans="1:19" s="38" customFormat="1" ht="16.5" customHeight="1" x14ac:dyDescent="0.25">
      <c r="A68" s="637"/>
      <c r="B68" s="550">
        <f>+B67/H67*100</f>
        <v>96.0843373493976</v>
      </c>
      <c r="C68" s="551" t="e">
        <f>+C67/#REF!*100</f>
        <v>#REF!</v>
      </c>
      <c r="D68" s="550">
        <f t="shared" ref="D68:D70" si="60">+D67/$H$42*100</f>
        <v>0</v>
      </c>
      <c r="E68" s="551" t="e">
        <f>+E67/#REF!*100</f>
        <v>#REF!</v>
      </c>
      <c r="F68" s="550">
        <f>+F67/$H$67*100</f>
        <v>3.915662650602409</v>
      </c>
      <c r="G68" s="551" t="e">
        <f t="shared" ref="G68" si="61">+G67/G75*100</f>
        <v>#DIV/0!</v>
      </c>
      <c r="H68" s="550">
        <f>+H67/H67*100</f>
        <v>100</v>
      </c>
      <c r="I68" s="551" t="e">
        <f>+I67/#REF!*100</f>
        <v>#REF!</v>
      </c>
      <c r="J68" s="549">
        <f t="shared" si="45"/>
        <v>1.2030666811614459</v>
      </c>
      <c r="K68" s="541"/>
      <c r="L68" s="566"/>
      <c r="M68" s="567"/>
    </row>
    <row r="69" spans="1:19" s="38" customFormat="1" ht="16.5" hidden="1" customHeight="1" x14ac:dyDescent="0.25">
      <c r="A69" s="530"/>
      <c r="B69" s="536"/>
      <c r="C69" s="537"/>
      <c r="D69" s="536"/>
      <c r="E69" s="537"/>
      <c r="F69" s="536"/>
      <c r="G69" s="537"/>
      <c r="H69" s="547">
        <f>+B69+D69+F69</f>
        <v>0</v>
      </c>
      <c r="I69" s="548"/>
      <c r="J69" s="549"/>
      <c r="K69" s="541"/>
      <c r="L69" s="566"/>
      <c r="M69" s="567"/>
    </row>
    <row r="70" spans="1:19" s="38" customFormat="1" ht="16.5" hidden="1" customHeight="1" x14ac:dyDescent="0.25">
      <c r="A70" s="530"/>
      <c r="B70" s="550">
        <f>+B69/$H$42*100</f>
        <v>0</v>
      </c>
      <c r="C70" s="551" t="e">
        <f>+C69/#REF!*100</f>
        <v>#REF!</v>
      </c>
      <c r="D70" s="550">
        <f t="shared" si="60"/>
        <v>0</v>
      </c>
      <c r="E70" s="551" t="e">
        <f>+E69/#REF!*100</f>
        <v>#REF!</v>
      </c>
      <c r="F70" s="550">
        <f t="shared" ref="F70" si="62">+F69/$H$42*100</f>
        <v>0</v>
      </c>
      <c r="G70" s="551" t="e">
        <f>+G69/#REF!*100</f>
        <v>#REF!</v>
      </c>
      <c r="H70" s="550">
        <f t="shared" ref="H70" si="63">+H69/$H$42*100</f>
        <v>0</v>
      </c>
      <c r="I70" s="551" t="e">
        <f>+I69/#REF!*100</f>
        <v>#REF!</v>
      </c>
      <c r="J70" s="549">
        <f>+H69/$H$48*100</f>
        <v>0</v>
      </c>
      <c r="K70" s="541"/>
      <c r="L70" s="566"/>
      <c r="M70" s="567"/>
    </row>
    <row r="71" spans="1:19" s="38" customFormat="1" ht="16.5" customHeight="1" x14ac:dyDescent="0.25">
      <c r="A71" s="524" t="s">
        <v>43</v>
      </c>
      <c r="B71" s="556">
        <f>+B53+B55+B57+B59+B61+B63+B65+B67+B69</f>
        <v>292179.20000000001</v>
      </c>
      <c r="C71" s="529" t="e">
        <f>+#REF!+#REF!+#REF!+#REF!+#REF!+C63+C53</f>
        <v>#REF!</v>
      </c>
      <c r="D71" s="556">
        <f t="shared" ref="D71" si="64">+D53+D55+D57+D59+D61+D63</f>
        <v>0</v>
      </c>
      <c r="E71" s="529" t="e">
        <f>+#REF!+#REF!+#REF!+#REF!+#REF!+E63+E53</f>
        <v>#REF!</v>
      </c>
      <c r="F71" s="556">
        <f>+F53+F55+F57+F59+F61+F63+F65+F69</f>
        <v>16752</v>
      </c>
      <c r="G71" s="529" t="e">
        <f>+#REF!+#REF!+#REF!+#REF!+#REF!+G63+G53</f>
        <v>#REF!</v>
      </c>
      <c r="H71" s="556">
        <f>+H53+H55+H57+H59+H61+H63+H65+H67+H69</f>
        <v>309076.80000000005</v>
      </c>
      <c r="I71" s="529" t="e">
        <f>+#REF!+#REF!+#REF!+#REF!+#REF!+I63+I53</f>
        <v>#REF!</v>
      </c>
      <c r="J71" s="549"/>
      <c r="K71" s="541"/>
      <c r="L71" s="566"/>
      <c r="M71" s="567"/>
      <c r="O71" s="168">
        <f>+H54+H56+H58+H60+H62+H64+H66+H68</f>
        <v>800</v>
      </c>
    </row>
    <row r="72" spans="1:19" s="38" customFormat="1" ht="16.5" customHeight="1" x14ac:dyDescent="0.25">
      <c r="A72" s="524"/>
      <c r="B72" s="550">
        <f>+B71/H71*100</f>
        <v>94.532879853809789</v>
      </c>
      <c r="C72" s="551" t="e">
        <f>+C54+C64+#REF!+#REF!+#REF!+#REF!</f>
        <v>#REF!</v>
      </c>
      <c r="D72" s="550">
        <f t="shared" ref="D72" si="65">+D71/$H$48*100</f>
        <v>0</v>
      </c>
      <c r="E72" s="551" t="e">
        <f>+E54+E64+#REF!+#REF!+#REF!+#REF!</f>
        <v>#REF!</v>
      </c>
      <c r="F72" s="550">
        <f>+F71/$H$71*100</f>
        <v>5.4200121134941206</v>
      </c>
      <c r="G72" s="643"/>
      <c r="H72" s="550">
        <f>+H71/$H$71*100</f>
        <v>100</v>
      </c>
      <c r="I72" s="551" t="e">
        <f>+I54+I64+#REF!+#REF!+#REF!+#REF!</f>
        <v>#REF!</v>
      </c>
      <c r="J72" s="549">
        <f>+H71/$H$71*100</f>
        <v>100</v>
      </c>
      <c r="K72" s="541"/>
      <c r="L72" s="568"/>
      <c r="M72" s="569"/>
    </row>
    <row r="73" spans="1:19" ht="18" customHeight="1" x14ac:dyDescent="0.25">
      <c r="A73" s="1" t="s">
        <v>219</v>
      </c>
      <c r="B73" s="7"/>
      <c r="C73" s="7"/>
      <c r="D73" s="7"/>
      <c r="E73" s="7"/>
      <c r="F73" s="7"/>
      <c r="G73" s="7"/>
      <c r="J73" s="7"/>
      <c r="K73" s="7"/>
      <c r="L73" s="7"/>
      <c r="M73" s="7"/>
    </row>
    <row r="74" spans="1:19" ht="16.5" customHeight="1" x14ac:dyDescent="0.25">
      <c r="A74" s="1" t="s">
        <v>45</v>
      </c>
      <c r="B74" s="7"/>
      <c r="C74" s="7"/>
      <c r="D74" s="7"/>
      <c r="E74" s="7"/>
      <c r="F74" s="7"/>
      <c r="G74" s="7"/>
      <c r="J74" s="7"/>
      <c r="K74" s="7"/>
      <c r="L74" s="7"/>
      <c r="M74" s="7"/>
    </row>
    <row r="75" spans="1:19" ht="17.25" customHeight="1" x14ac:dyDescent="0.25">
      <c r="A75" s="2" t="s">
        <v>220</v>
      </c>
      <c r="B75" s="7"/>
      <c r="C75" s="7"/>
      <c r="D75" s="7"/>
      <c r="E75" s="7"/>
      <c r="F75" s="7"/>
      <c r="G75" s="7"/>
      <c r="J75" s="7"/>
      <c r="K75" s="7"/>
      <c r="L75" s="7"/>
      <c r="M75" s="7"/>
      <c r="N75" s="157" t="s">
        <v>150</v>
      </c>
    </row>
    <row r="76" spans="1:19" ht="19.5" customHeight="1" x14ac:dyDescent="0.25">
      <c r="A76" s="9" t="s">
        <v>47</v>
      </c>
      <c r="B76" s="524" t="s">
        <v>48</v>
      </c>
      <c r="C76" s="524"/>
      <c r="D76" s="9" t="s">
        <v>17</v>
      </c>
      <c r="E76" s="9" t="s">
        <v>49</v>
      </c>
      <c r="F76" s="9" t="s">
        <v>50</v>
      </c>
      <c r="G76" s="528" t="s">
        <v>51</v>
      </c>
      <c r="H76" s="529"/>
      <c r="I76" s="9" t="s">
        <v>52</v>
      </c>
      <c r="J76" s="9" t="s">
        <v>53</v>
      </c>
      <c r="K76" s="528" t="s">
        <v>35</v>
      </c>
      <c r="L76" s="557"/>
      <c r="M76" s="529"/>
      <c r="N76" s="47" t="s">
        <v>54</v>
      </c>
      <c r="O76" s="48">
        <f>+H48</f>
        <v>150654.40000000002</v>
      </c>
      <c r="P76" s="47" t="s">
        <v>13</v>
      </c>
      <c r="Q76" s="47">
        <v>576</v>
      </c>
    </row>
    <row r="77" spans="1:19" ht="28.5" customHeight="1" x14ac:dyDescent="0.25">
      <c r="A77" s="11">
        <v>1</v>
      </c>
      <c r="B77" s="585" t="s">
        <v>221</v>
      </c>
      <c r="C77" s="585"/>
      <c r="D77" s="62" t="s">
        <v>56</v>
      </c>
      <c r="E77" s="32">
        <v>21.01</v>
      </c>
      <c r="F77" s="51">
        <f t="shared" ref="F77:F82" si="66">+G77/$O$76</f>
        <v>20.284553430369112</v>
      </c>
      <c r="G77" s="578">
        <v>3055957.2263202006</v>
      </c>
      <c r="H77" s="579"/>
      <c r="I77" s="69">
        <f>+(E77-F77)*$O$76</f>
        <v>109291.71767979994</v>
      </c>
      <c r="J77" s="80">
        <f t="shared" ref="J77:J79" si="67">+(F77-E77)*$O$78</f>
        <v>0</v>
      </c>
      <c r="K77" s="561" t="s">
        <v>222</v>
      </c>
      <c r="L77" s="562"/>
      <c r="M77" s="563"/>
      <c r="N77" s="54" t="s">
        <v>76</v>
      </c>
      <c r="O77" s="55"/>
      <c r="P77" s="55"/>
      <c r="Q77" s="55"/>
      <c r="R77" s="46"/>
    </row>
    <row r="78" spans="1:19" ht="17.25" customHeight="1" x14ac:dyDescent="0.25">
      <c r="A78" s="11">
        <v>2</v>
      </c>
      <c r="B78" s="572" t="s">
        <v>59</v>
      </c>
      <c r="C78" s="572"/>
      <c r="D78" s="62" t="s">
        <v>56</v>
      </c>
      <c r="E78" s="63">
        <v>0.50700000000000001</v>
      </c>
      <c r="F78" s="57">
        <f t="shared" si="66"/>
        <v>0.44523704584798035</v>
      </c>
      <c r="G78" s="578">
        <v>67076.919999999984</v>
      </c>
      <c r="H78" s="579"/>
      <c r="I78" s="69">
        <f>+(E78-F78)*$O$77</f>
        <v>0</v>
      </c>
      <c r="J78" s="53">
        <f t="shared" si="67"/>
        <v>0</v>
      </c>
      <c r="K78" s="561"/>
      <c r="L78" s="562"/>
      <c r="M78" s="563"/>
      <c r="N78" s="54"/>
      <c r="O78" s="55"/>
      <c r="P78" s="55"/>
      <c r="Q78" s="55"/>
      <c r="R78" s="46"/>
    </row>
    <row r="79" spans="1:19" ht="17.25" customHeight="1" x14ac:dyDescent="0.25">
      <c r="A79" s="11">
        <v>3</v>
      </c>
      <c r="B79" s="572" t="s">
        <v>60</v>
      </c>
      <c r="C79" s="572"/>
      <c r="D79" s="62" t="s">
        <v>56</v>
      </c>
      <c r="E79" s="63">
        <v>0.47799999999999998</v>
      </c>
      <c r="F79" s="57">
        <f t="shared" si="66"/>
        <v>0.49706746035960447</v>
      </c>
      <c r="G79" s="559">
        <v>74885.400000000009</v>
      </c>
      <c r="H79" s="560"/>
      <c r="I79" s="69">
        <f>+(E79-F79)*$O$77</f>
        <v>0</v>
      </c>
      <c r="J79" s="53">
        <f t="shared" si="67"/>
        <v>0</v>
      </c>
      <c r="K79" s="561"/>
      <c r="L79" s="562"/>
      <c r="M79" s="563"/>
      <c r="N79" s="72">
        <v>43127.707000000009</v>
      </c>
      <c r="O79" s="71"/>
      <c r="P79" s="73">
        <f>+[2]T3!$I$70+[2]T3!$I$77</f>
        <v>360521.54969004891</v>
      </c>
      <c r="R79" s="46"/>
      <c r="S79" s="6">
        <f>+I79/G79*100</f>
        <v>0</v>
      </c>
    </row>
    <row r="80" spans="1:19" ht="17.25" customHeight="1" x14ac:dyDescent="0.25">
      <c r="A80" s="11">
        <v>4</v>
      </c>
      <c r="B80" s="572" t="s">
        <v>65</v>
      </c>
      <c r="C80" s="572"/>
      <c r="D80" s="62" t="s">
        <v>56</v>
      </c>
      <c r="E80" s="32">
        <v>1.79</v>
      </c>
      <c r="F80" s="57">
        <f t="shared" si="66"/>
        <v>1.6596926475429856</v>
      </c>
      <c r="G80" s="574">
        <v>250040</v>
      </c>
      <c r="H80" s="575"/>
      <c r="I80" s="52">
        <f t="shared" ref="I80" si="68">+(E80-F80)*$O$84</f>
        <v>40274.979513886159</v>
      </c>
      <c r="J80" s="53">
        <v>0</v>
      </c>
      <c r="K80" s="580"/>
      <c r="L80" s="581"/>
      <c r="M80" s="582"/>
      <c r="O80" s="45"/>
      <c r="R80" s="46"/>
    </row>
    <row r="81" spans="1:18" ht="17.25" customHeight="1" x14ac:dyDescent="0.25">
      <c r="A81" s="11">
        <v>5</v>
      </c>
      <c r="B81" s="638" t="s">
        <v>71</v>
      </c>
      <c r="C81" s="639"/>
      <c r="D81" s="62" t="s">
        <v>62</v>
      </c>
      <c r="E81" s="63">
        <v>4.3999999999999997E-2</v>
      </c>
      <c r="F81" s="57">
        <f t="shared" si="66"/>
        <v>2.4061693518410344E-2</v>
      </c>
      <c r="G81" s="574">
        <v>3625</v>
      </c>
      <c r="H81" s="575"/>
      <c r="I81" s="69">
        <f>+(E81-F81)*$O$76</f>
        <v>3003.7936000000009</v>
      </c>
      <c r="J81" s="53">
        <f>+(F81-E81)*$O$78</f>
        <v>0</v>
      </c>
      <c r="K81" s="588"/>
      <c r="L81" s="576"/>
      <c r="M81" s="577"/>
      <c r="O81" s="45"/>
      <c r="R81" s="46"/>
    </row>
    <row r="82" spans="1:18" ht="17.25" customHeight="1" x14ac:dyDescent="0.25">
      <c r="A82" s="11">
        <v>6</v>
      </c>
      <c r="B82" s="638" t="s">
        <v>223</v>
      </c>
      <c r="C82" s="639"/>
      <c r="D82" s="62" t="s">
        <v>56</v>
      </c>
      <c r="E82" s="158">
        <v>2.5999999999999999E-3</v>
      </c>
      <c r="F82" s="66">
        <f t="shared" si="66"/>
        <v>2.5223292515850846E-3</v>
      </c>
      <c r="G82" s="574">
        <v>380</v>
      </c>
      <c r="H82" s="575"/>
      <c r="I82" s="69">
        <f t="shared" ref="I82" si="69">+(E82-F82)*$O$76</f>
        <v>11.701440000000014</v>
      </c>
      <c r="J82" s="53">
        <f t="shared" ref="J82" si="70">+(F82-E82)*$O$78</f>
        <v>0</v>
      </c>
      <c r="K82" s="67"/>
      <c r="L82" s="67"/>
      <c r="M82" s="68"/>
      <c r="O82" s="45"/>
      <c r="R82" s="46"/>
    </row>
    <row r="83" spans="1:18" ht="18" customHeight="1" x14ac:dyDescent="0.25">
      <c r="A83" s="2" t="s">
        <v>224</v>
      </c>
      <c r="B83" s="39"/>
      <c r="C83" s="39"/>
      <c r="D83" s="39"/>
      <c r="E83" s="40"/>
      <c r="F83" s="41"/>
      <c r="G83" s="42"/>
      <c r="H83" s="42"/>
      <c r="I83" s="43"/>
      <c r="J83" s="44"/>
      <c r="K83" s="2"/>
      <c r="L83" s="2"/>
      <c r="M83" s="7"/>
      <c r="N83" t="s">
        <v>181</v>
      </c>
      <c r="O83" s="45"/>
      <c r="R83" s="46"/>
    </row>
    <row r="84" spans="1:18" ht="18.75" customHeight="1" x14ac:dyDescent="0.25">
      <c r="A84" s="9" t="s">
        <v>47</v>
      </c>
      <c r="B84" s="524" t="s">
        <v>48</v>
      </c>
      <c r="C84" s="524"/>
      <c r="D84" s="9" t="s">
        <v>17</v>
      </c>
      <c r="E84" s="9" t="s">
        <v>49</v>
      </c>
      <c r="F84" s="9" t="s">
        <v>50</v>
      </c>
      <c r="G84" s="528" t="s">
        <v>51</v>
      </c>
      <c r="H84" s="529"/>
      <c r="I84" s="9" t="s">
        <v>52</v>
      </c>
      <c r="J84" s="9" t="s">
        <v>53</v>
      </c>
      <c r="K84" s="528" t="s">
        <v>35</v>
      </c>
      <c r="L84" s="557"/>
      <c r="M84" s="529"/>
      <c r="N84" s="47" t="s">
        <v>54</v>
      </c>
      <c r="O84" s="48">
        <f>+H71</f>
        <v>309076.80000000005</v>
      </c>
      <c r="P84" s="47" t="s">
        <v>13</v>
      </c>
      <c r="Q84" s="47">
        <v>1296</v>
      </c>
      <c r="R84" s="46"/>
    </row>
    <row r="85" spans="1:18" ht="27.75" customHeight="1" x14ac:dyDescent="0.25">
      <c r="A85" s="11">
        <v>1</v>
      </c>
      <c r="B85" s="572" t="s">
        <v>55</v>
      </c>
      <c r="C85" s="572"/>
      <c r="D85" s="62" t="s">
        <v>56</v>
      </c>
      <c r="E85" s="32">
        <v>21.01</v>
      </c>
      <c r="F85" s="51">
        <f>+G85/$O$84</f>
        <v>20.163314312403159</v>
      </c>
      <c r="G85" s="559">
        <v>6232012.6650717696</v>
      </c>
      <c r="H85" s="560"/>
      <c r="I85" s="159">
        <f>+(E85-F85)*$O$84</f>
        <v>261690.90292823181</v>
      </c>
      <c r="J85" s="53">
        <v>0</v>
      </c>
      <c r="K85" s="561" t="s">
        <v>182</v>
      </c>
      <c r="L85" s="562"/>
      <c r="M85" s="563"/>
      <c r="N85" s="54" t="s">
        <v>58</v>
      </c>
      <c r="O85" s="55"/>
      <c r="P85" s="55"/>
      <c r="Q85" s="55"/>
      <c r="R85" s="46"/>
    </row>
    <row r="86" spans="1:18" ht="15.75" customHeight="1" x14ac:dyDescent="0.25">
      <c r="A86" s="11">
        <v>2</v>
      </c>
      <c r="B86" s="572" t="s">
        <v>59</v>
      </c>
      <c r="C86" s="572"/>
      <c r="D86" s="62" t="s">
        <v>56</v>
      </c>
      <c r="E86" s="63">
        <v>0.50700000000000001</v>
      </c>
      <c r="F86" s="57">
        <f>+G86/$O$84</f>
        <v>0.46939401469149405</v>
      </c>
      <c r="G86" s="559">
        <v>145078.79999999999</v>
      </c>
      <c r="H86" s="560"/>
      <c r="I86" s="52">
        <f>+(E86-F86)*$O$84</f>
        <v>11623.137600000035</v>
      </c>
      <c r="J86" s="53">
        <v>0</v>
      </c>
      <c r="K86" s="58"/>
      <c r="L86" s="58"/>
      <c r="M86" s="59"/>
      <c r="N86" s="54"/>
      <c r="O86" s="55"/>
      <c r="P86" s="55"/>
      <c r="Q86" s="60"/>
      <c r="R86" s="46"/>
    </row>
    <row r="87" spans="1:18" ht="15.75" customHeight="1" x14ac:dyDescent="0.25">
      <c r="A87" s="11">
        <v>3</v>
      </c>
      <c r="B87" s="572" t="s">
        <v>60</v>
      </c>
      <c r="C87" s="572"/>
      <c r="D87" s="62" t="s">
        <v>56</v>
      </c>
      <c r="E87" s="63">
        <v>0.47799999999999998</v>
      </c>
      <c r="F87" s="51">
        <f>+G87/$O$84</f>
        <v>0.44287439238402881</v>
      </c>
      <c r="G87" s="559">
        <f>+[5]T5.2026!$I$321</f>
        <v>136882.20000000001</v>
      </c>
      <c r="H87" s="560"/>
      <c r="I87" s="52">
        <f t="shared" ref="I87:I96" si="71">+(E87-F87)*$O$84</f>
        <v>10856.510399999999</v>
      </c>
      <c r="J87" s="53"/>
      <c r="K87" s="58"/>
      <c r="L87" s="58"/>
      <c r="M87" s="61"/>
      <c r="O87" s="45"/>
      <c r="R87" s="46"/>
    </row>
    <row r="88" spans="1:18" ht="15.75" customHeight="1" x14ac:dyDescent="0.25">
      <c r="A88" s="11">
        <v>4</v>
      </c>
      <c r="B88" s="572" t="s">
        <v>61</v>
      </c>
      <c r="C88" s="572"/>
      <c r="D88" s="62" t="s">
        <v>62</v>
      </c>
      <c r="E88" s="63">
        <v>0.627</v>
      </c>
      <c r="F88" s="57">
        <f>+G88/$O$88</f>
        <v>0.61638437515164535</v>
      </c>
      <c r="G88" s="559">
        <v>284525</v>
      </c>
      <c r="H88" s="560"/>
      <c r="I88" s="52">
        <v>0</v>
      </c>
      <c r="J88" s="53">
        <f t="shared" ref="J88:J95" si="72">+(F88-E88)*$O$84</f>
        <v>-3281.0433581299426</v>
      </c>
      <c r="K88" s="570"/>
      <c r="L88" s="571"/>
      <c r="M88" s="551"/>
      <c r="N88" s="64"/>
      <c r="O88" s="169">
        <f>+O84+O76+Q84+Q76</f>
        <v>461603.20000000007</v>
      </c>
      <c r="P88" s="170"/>
      <c r="R88" s="46"/>
    </row>
    <row r="89" spans="1:18" ht="15.75" customHeight="1" x14ac:dyDescent="0.25">
      <c r="A89" s="11">
        <v>5</v>
      </c>
      <c r="B89" s="572" t="s">
        <v>63</v>
      </c>
      <c r="C89" s="572"/>
      <c r="D89" s="62" t="s">
        <v>56</v>
      </c>
      <c r="E89" s="63">
        <v>2.5000000000000001E-2</v>
      </c>
      <c r="F89" s="57">
        <f t="shared" ref="F89:F94" si="73">+G89/$O$88</f>
        <v>2.323424101046093E-2</v>
      </c>
      <c r="G89" s="559">
        <v>10725</v>
      </c>
      <c r="H89" s="560"/>
      <c r="I89" s="52">
        <f t="shared" si="71"/>
        <v>545.7551380579697</v>
      </c>
      <c r="J89" s="53">
        <v>0</v>
      </c>
      <c r="K89" s="570"/>
      <c r="L89" s="571"/>
      <c r="M89" s="551"/>
      <c r="N89" s="64"/>
      <c r="O89" s="171">
        <f>+O93</f>
        <v>0</v>
      </c>
      <c r="P89" s="60"/>
      <c r="R89" s="46"/>
    </row>
    <row r="90" spans="1:18" ht="15.75" customHeight="1" x14ac:dyDescent="0.25">
      <c r="A90" s="11">
        <v>6</v>
      </c>
      <c r="B90" s="572" t="s">
        <v>64</v>
      </c>
      <c r="C90" s="572"/>
      <c r="D90" s="62" t="s">
        <v>56</v>
      </c>
      <c r="E90" s="158">
        <v>1.09E-2</v>
      </c>
      <c r="F90" s="66">
        <f>+G90/$O$88</f>
        <v>1.0820982176899986E-2</v>
      </c>
      <c r="G90" s="559">
        <v>4995</v>
      </c>
      <c r="H90" s="560"/>
      <c r="I90" s="52">
        <v>0</v>
      </c>
      <c r="J90" s="53">
        <f>+(F90-E90)*$O$84</f>
        <v>-24.42257590671846</v>
      </c>
      <c r="K90" s="58"/>
      <c r="L90" s="58"/>
      <c r="M90" s="59"/>
      <c r="O90" s="45"/>
      <c r="R90" s="46"/>
    </row>
    <row r="91" spans="1:18" ht="15.75" customHeight="1" x14ac:dyDescent="0.25">
      <c r="A91" s="11">
        <v>7</v>
      </c>
      <c r="B91" s="572" t="s">
        <v>65</v>
      </c>
      <c r="C91" s="572"/>
      <c r="D91" s="62" t="s">
        <v>56</v>
      </c>
      <c r="E91" s="32">
        <v>1.79</v>
      </c>
      <c r="F91" s="57">
        <f>+G91/$O$84</f>
        <v>1.6961738959378378</v>
      </c>
      <c r="G91" s="578">
        <v>524248</v>
      </c>
      <c r="H91" s="579"/>
      <c r="I91" s="52">
        <f t="shared" si="71"/>
        <v>28999.472000000093</v>
      </c>
      <c r="J91" s="53">
        <v>0</v>
      </c>
      <c r="K91" s="580"/>
      <c r="L91" s="581"/>
      <c r="M91" s="582"/>
      <c r="O91" s="45"/>
      <c r="R91" s="46"/>
    </row>
    <row r="92" spans="1:18" ht="15.75" customHeight="1" x14ac:dyDescent="0.25">
      <c r="A92" s="11">
        <v>8</v>
      </c>
      <c r="B92" s="572" t="s">
        <v>67</v>
      </c>
      <c r="C92" s="572"/>
      <c r="D92" s="62" t="s">
        <v>56</v>
      </c>
      <c r="E92" s="158">
        <v>8.2000000000000007E-3</v>
      </c>
      <c r="F92" s="57">
        <f t="shared" si="73"/>
        <v>0.2789625375214036</v>
      </c>
      <c r="G92" s="559">
        <v>128770</v>
      </c>
      <c r="H92" s="560"/>
      <c r="I92" s="52">
        <f t="shared" si="71"/>
        <v>-83686.418656995374</v>
      </c>
      <c r="J92" s="53">
        <v>0</v>
      </c>
      <c r="K92" s="58"/>
      <c r="L92" s="58"/>
      <c r="M92" s="59"/>
      <c r="O92" s="6">
        <f>+O88/G94</f>
        <v>61.96016107382551</v>
      </c>
      <c r="R92" s="46"/>
    </row>
    <row r="93" spans="1:18" ht="15.75" customHeight="1" x14ac:dyDescent="0.25">
      <c r="A93" s="11">
        <v>9</v>
      </c>
      <c r="B93" s="572" t="s">
        <v>68</v>
      </c>
      <c r="C93" s="572"/>
      <c r="D93" s="62" t="s">
        <v>62</v>
      </c>
      <c r="E93" s="63">
        <v>6.4000000000000001E-2</v>
      </c>
      <c r="F93" s="57">
        <f t="shared" si="73"/>
        <v>1.0820982176899986E-2</v>
      </c>
      <c r="G93" s="559">
        <v>4995</v>
      </c>
      <c r="H93" s="560"/>
      <c r="I93" s="52">
        <f t="shared" si="71"/>
        <v>16436.40065590672</v>
      </c>
      <c r="J93" s="53">
        <v>0</v>
      </c>
      <c r="K93" s="58"/>
      <c r="L93" s="58"/>
      <c r="M93" s="59"/>
      <c r="O93" s="45"/>
      <c r="R93" s="46"/>
    </row>
    <row r="94" spans="1:18" ht="15.75" customHeight="1" x14ac:dyDescent="0.25">
      <c r="A94" s="11">
        <v>10</v>
      </c>
      <c r="B94" s="572" t="s">
        <v>69</v>
      </c>
      <c r="C94" s="572"/>
      <c r="D94" s="62" t="s">
        <v>62</v>
      </c>
      <c r="E94" s="158">
        <v>1.5900000000000001E-2</v>
      </c>
      <c r="F94" s="66">
        <f t="shared" si="73"/>
        <v>1.6139402846427404E-2</v>
      </c>
      <c r="G94" s="559">
        <v>7450</v>
      </c>
      <c r="H94" s="560"/>
      <c r="I94" s="52">
        <v>0</v>
      </c>
      <c r="J94" s="53">
        <f t="shared" si="72"/>
        <v>73.993865684673324</v>
      </c>
      <c r="K94" s="573" t="s">
        <v>225</v>
      </c>
      <c r="L94" s="573"/>
      <c r="M94" s="59"/>
      <c r="N94" s="64"/>
      <c r="O94" s="45"/>
      <c r="R94" s="46"/>
    </row>
    <row r="95" spans="1:18" ht="29.25" customHeight="1" x14ac:dyDescent="0.25">
      <c r="A95" s="11">
        <v>11</v>
      </c>
      <c r="B95" s="572" t="s">
        <v>71</v>
      </c>
      <c r="C95" s="572"/>
      <c r="D95" s="62" t="s">
        <v>56</v>
      </c>
      <c r="E95" s="63">
        <v>4.3999999999999997E-2</v>
      </c>
      <c r="F95" s="57">
        <f>+G95/$O$84</f>
        <v>5.5406940928597673E-2</v>
      </c>
      <c r="G95" s="574">
        <v>17125</v>
      </c>
      <c r="H95" s="575"/>
      <c r="I95" s="52">
        <v>0</v>
      </c>
      <c r="J95" s="53">
        <f t="shared" si="72"/>
        <v>3525.6207999999983</v>
      </c>
      <c r="K95" s="561" t="s">
        <v>226</v>
      </c>
      <c r="L95" s="576"/>
      <c r="M95" s="577"/>
      <c r="O95" s="45"/>
      <c r="R95" s="46"/>
    </row>
    <row r="96" spans="1:18" ht="15.75" customHeight="1" x14ac:dyDescent="0.25">
      <c r="A96" s="11">
        <v>12</v>
      </c>
      <c r="B96" s="638" t="s">
        <v>72</v>
      </c>
      <c r="C96" s="639"/>
      <c r="D96" s="62" t="s">
        <v>56</v>
      </c>
      <c r="E96" s="158">
        <v>2.5999999999999999E-3</v>
      </c>
      <c r="F96" s="66">
        <f>+G96/$O$84</f>
        <v>2.5236446087186092E-3</v>
      </c>
      <c r="G96" s="574">
        <v>780</v>
      </c>
      <c r="H96" s="575"/>
      <c r="I96" s="52">
        <f t="shared" si="71"/>
        <v>23.599680000000141</v>
      </c>
      <c r="J96" s="53">
        <v>0</v>
      </c>
      <c r="K96" s="67"/>
      <c r="L96" s="67"/>
      <c r="M96" s="68"/>
      <c r="O96" s="45"/>
      <c r="R96" s="46"/>
    </row>
    <row r="97" spans="1:16" ht="18.75" customHeight="1" x14ac:dyDescent="0.25">
      <c r="A97" s="1" t="s">
        <v>90</v>
      </c>
      <c r="B97" s="7"/>
      <c r="C97" s="7"/>
      <c r="D97" s="7"/>
      <c r="E97" s="7"/>
      <c r="F97" s="7"/>
      <c r="G97" s="7"/>
      <c r="J97" s="7"/>
      <c r="K97" s="7"/>
      <c r="L97" s="7"/>
      <c r="M97" s="7"/>
    </row>
    <row r="98" spans="1:16" ht="18" customHeight="1" x14ac:dyDescent="0.25">
      <c r="A98" s="593" t="s">
        <v>91</v>
      </c>
      <c r="B98" s="594"/>
      <c r="C98" s="595"/>
      <c r="D98" s="90" t="s">
        <v>92</v>
      </c>
      <c r="E98" s="90" t="s">
        <v>93</v>
      </c>
      <c r="F98" s="90" t="s">
        <v>94</v>
      </c>
      <c r="G98" s="90" t="s">
        <v>95</v>
      </c>
      <c r="H98" s="527" t="s">
        <v>227</v>
      </c>
      <c r="I98" s="527"/>
      <c r="J98" s="90" t="s">
        <v>97</v>
      </c>
      <c r="K98" s="593" t="s">
        <v>35</v>
      </c>
      <c r="L98" s="594"/>
      <c r="M98" s="595"/>
      <c r="N98" s="160" t="s">
        <v>181</v>
      </c>
      <c r="P98">
        <f>14*3</f>
        <v>42</v>
      </c>
    </row>
    <row r="99" spans="1:16" ht="18" customHeight="1" x14ac:dyDescent="0.25">
      <c r="A99" s="91">
        <v>1</v>
      </c>
      <c r="B99" s="596" t="s">
        <v>187</v>
      </c>
      <c r="C99" s="596"/>
      <c r="D99" s="69">
        <v>3</v>
      </c>
      <c r="E99" s="69">
        <v>3</v>
      </c>
      <c r="F99" s="69"/>
      <c r="G99" s="92"/>
      <c r="H99" s="603"/>
      <c r="I99" s="603"/>
      <c r="J99" s="69">
        <f>+E99+F99-G99-H99</f>
        <v>3</v>
      </c>
      <c r="K99" s="593"/>
      <c r="L99" s="594"/>
      <c r="M99" s="595"/>
    </row>
    <row r="100" spans="1:16" ht="18" customHeight="1" x14ac:dyDescent="0.25">
      <c r="A100" s="91">
        <v>2</v>
      </c>
      <c r="B100" s="596" t="s">
        <v>99</v>
      </c>
      <c r="C100" s="596"/>
      <c r="D100" s="69">
        <v>5</v>
      </c>
      <c r="E100" s="69">
        <v>5</v>
      </c>
      <c r="F100" s="52"/>
      <c r="G100" s="93"/>
      <c r="H100" s="604">
        <v>0</v>
      </c>
      <c r="I100" s="604"/>
      <c r="J100" s="69">
        <f t="shared" ref="J100:J105" si="74">+E100+F100-G100-H100</f>
        <v>5</v>
      </c>
      <c r="K100" s="593"/>
      <c r="L100" s="594"/>
      <c r="M100" s="595"/>
    </row>
    <row r="101" spans="1:16" ht="18" customHeight="1" x14ac:dyDescent="0.25">
      <c r="A101" s="91">
        <v>3</v>
      </c>
      <c r="B101" s="596" t="s">
        <v>100</v>
      </c>
      <c r="C101" s="596"/>
      <c r="D101" s="69">
        <v>25</v>
      </c>
      <c r="E101" s="69">
        <v>25</v>
      </c>
      <c r="F101" s="69"/>
      <c r="G101" s="69">
        <v>0</v>
      </c>
      <c r="H101" s="597"/>
      <c r="I101" s="597"/>
      <c r="J101" s="69">
        <f>+E101+H101</f>
        <v>25</v>
      </c>
      <c r="K101" s="593"/>
      <c r="L101" s="594"/>
      <c r="M101" s="595"/>
    </row>
    <row r="102" spans="1:16" ht="18" customHeight="1" x14ac:dyDescent="0.25">
      <c r="A102" s="91">
        <v>4</v>
      </c>
      <c r="B102" s="596" t="s">
        <v>101</v>
      </c>
      <c r="C102" s="596"/>
      <c r="D102" s="69">
        <v>27</v>
      </c>
      <c r="E102" s="69">
        <v>27</v>
      </c>
      <c r="F102" s="69"/>
      <c r="G102" s="92"/>
      <c r="H102" s="598"/>
      <c r="I102" s="599"/>
      <c r="J102" s="69">
        <f>+E102-H102</f>
        <v>27</v>
      </c>
      <c r="K102" s="600"/>
      <c r="L102" s="601"/>
      <c r="M102" s="602"/>
    </row>
    <row r="103" spans="1:16" ht="18" customHeight="1" x14ac:dyDescent="0.25">
      <c r="A103" s="91">
        <v>5</v>
      </c>
      <c r="B103" s="596" t="s">
        <v>102</v>
      </c>
      <c r="C103" s="596"/>
      <c r="D103" s="69">
        <v>43</v>
      </c>
      <c r="E103" s="69">
        <v>44</v>
      </c>
      <c r="F103" s="69">
        <v>4</v>
      </c>
      <c r="G103" s="92">
        <v>4</v>
      </c>
      <c r="H103" s="607">
        <v>2</v>
      </c>
      <c r="I103" s="607"/>
      <c r="J103" s="69">
        <f>+E103+F103-G103-H103</f>
        <v>42</v>
      </c>
      <c r="K103" s="593"/>
      <c r="L103" s="594"/>
      <c r="M103" s="595"/>
    </row>
    <row r="104" spans="1:16" ht="18" customHeight="1" x14ac:dyDescent="0.25">
      <c r="A104" s="91">
        <v>6</v>
      </c>
      <c r="B104" s="596" t="s">
        <v>103</v>
      </c>
      <c r="C104" s="596"/>
      <c r="D104" s="69">
        <v>6</v>
      </c>
      <c r="E104" s="69">
        <v>6</v>
      </c>
      <c r="F104" s="69"/>
      <c r="G104" s="69"/>
      <c r="H104" s="597"/>
      <c r="I104" s="597"/>
      <c r="J104" s="69">
        <f t="shared" si="74"/>
        <v>6</v>
      </c>
      <c r="K104" s="593"/>
      <c r="L104" s="594"/>
      <c r="M104" s="595"/>
    </row>
    <row r="105" spans="1:16" ht="18" customHeight="1" x14ac:dyDescent="0.25">
      <c r="A105" s="91">
        <v>7</v>
      </c>
      <c r="B105" s="596" t="s">
        <v>104</v>
      </c>
      <c r="C105" s="596"/>
      <c r="D105" s="69">
        <v>1</v>
      </c>
      <c r="E105" s="69">
        <v>1</v>
      </c>
      <c r="F105" s="69"/>
      <c r="G105" s="92"/>
      <c r="H105" s="597"/>
      <c r="I105" s="597"/>
      <c r="J105" s="69">
        <f t="shared" si="74"/>
        <v>1</v>
      </c>
      <c r="K105" s="593"/>
      <c r="L105" s="594"/>
      <c r="M105" s="595"/>
    </row>
    <row r="106" spans="1:16" ht="18" customHeight="1" x14ac:dyDescent="0.25">
      <c r="A106" s="593" t="s">
        <v>105</v>
      </c>
      <c r="B106" s="594"/>
      <c r="C106" s="595"/>
      <c r="D106" s="94">
        <f>SUM(D99:D105)</f>
        <v>110</v>
      </c>
      <c r="E106" s="94">
        <f>SUM(E99:E105)</f>
        <v>111</v>
      </c>
      <c r="F106" s="95">
        <f t="shared" ref="F106:H106" si="75">SUM(F99:F105)</f>
        <v>4</v>
      </c>
      <c r="G106" s="96">
        <f t="shared" si="75"/>
        <v>4</v>
      </c>
      <c r="H106" s="605">
        <f t="shared" si="75"/>
        <v>2</v>
      </c>
      <c r="I106" s="606"/>
      <c r="J106" s="94">
        <f>SUM(J99:J105)</f>
        <v>109</v>
      </c>
      <c r="K106" s="593"/>
      <c r="L106" s="594"/>
      <c r="M106" s="595"/>
    </row>
    <row r="107" spans="1:16" ht="18.75" customHeight="1" x14ac:dyDescent="0.25">
      <c r="A107" s="88" t="s">
        <v>228</v>
      </c>
      <c r="B107" s="97"/>
      <c r="C107" s="97"/>
      <c r="D107" s="98"/>
      <c r="E107" s="98"/>
      <c r="F107" s="99"/>
      <c r="G107" s="100"/>
      <c r="H107" s="101"/>
      <c r="I107" s="101"/>
      <c r="J107" s="98"/>
      <c r="K107" s="97"/>
      <c r="L107" s="97"/>
      <c r="M107" s="97"/>
    </row>
    <row r="108" spans="1:16" ht="31.5" customHeight="1" x14ac:dyDescent="0.25">
      <c r="A108" s="102"/>
      <c r="B108" s="103" t="s">
        <v>47</v>
      </c>
      <c r="C108" s="608" t="s">
        <v>107</v>
      </c>
      <c r="D108" s="608"/>
      <c r="E108" s="103" t="s">
        <v>108</v>
      </c>
      <c r="F108" s="103" t="s">
        <v>109</v>
      </c>
      <c r="G108" s="103" t="s">
        <v>110</v>
      </c>
      <c r="H108" s="608" t="s">
        <v>111</v>
      </c>
      <c r="I108" s="608"/>
      <c r="J108" s="608" t="s">
        <v>112</v>
      </c>
      <c r="K108" s="608"/>
      <c r="L108" s="608"/>
      <c r="M108" s="608"/>
      <c r="N108" s="161" t="s">
        <v>150</v>
      </c>
    </row>
    <row r="109" spans="1:16" ht="16.5" customHeight="1" x14ac:dyDescent="0.25">
      <c r="A109" s="609"/>
      <c r="B109" s="646">
        <v>1</v>
      </c>
      <c r="C109" s="610" t="s">
        <v>229</v>
      </c>
      <c r="D109" s="611"/>
      <c r="E109" s="67" t="s">
        <v>230</v>
      </c>
      <c r="F109" s="106" t="s">
        <v>231</v>
      </c>
      <c r="G109" s="162">
        <v>6.4</v>
      </c>
      <c r="H109" s="612" t="s">
        <v>232</v>
      </c>
      <c r="I109" s="613"/>
      <c r="J109" s="614"/>
      <c r="K109" s="614"/>
      <c r="L109" s="614"/>
      <c r="M109" s="614"/>
    </row>
    <row r="110" spans="1:16" ht="16.5" customHeight="1" x14ac:dyDescent="0.25">
      <c r="A110" s="609"/>
      <c r="B110" s="647"/>
      <c r="C110" s="617"/>
      <c r="D110" s="618"/>
      <c r="E110" s="67" t="s">
        <v>233</v>
      </c>
      <c r="F110" s="106" t="s">
        <v>234</v>
      </c>
      <c r="G110" s="162">
        <v>102.4</v>
      </c>
      <c r="H110" s="612" t="s">
        <v>235</v>
      </c>
      <c r="I110" s="613"/>
      <c r="J110" s="172"/>
      <c r="K110" s="172"/>
      <c r="L110" s="172"/>
      <c r="M110" s="172"/>
    </row>
    <row r="111" spans="1:16" ht="18" customHeight="1" x14ac:dyDescent="0.25">
      <c r="A111" s="609"/>
      <c r="B111" s="104">
        <v>2</v>
      </c>
      <c r="C111" s="610" t="s">
        <v>236</v>
      </c>
      <c r="D111" s="611"/>
      <c r="E111" s="108" t="s">
        <v>237</v>
      </c>
      <c r="F111" s="106">
        <v>46113</v>
      </c>
      <c r="G111" s="162">
        <v>16</v>
      </c>
      <c r="H111" s="610" t="s">
        <v>238</v>
      </c>
      <c r="I111" s="611"/>
      <c r="J111" s="614"/>
      <c r="K111" s="614"/>
      <c r="L111" s="614"/>
      <c r="M111" s="614"/>
    </row>
    <row r="112" spans="1:16" ht="18" customHeight="1" x14ac:dyDescent="0.25">
      <c r="A112" s="620" t="s">
        <v>239</v>
      </c>
      <c r="B112" s="621"/>
      <c r="C112" s="621"/>
      <c r="D112" s="621"/>
      <c r="E112" s="621"/>
      <c r="F112" s="622"/>
      <c r="G112" s="164">
        <f>SUM(G109:G111)</f>
        <v>124.80000000000001</v>
      </c>
      <c r="H112" s="623"/>
      <c r="I112" s="623"/>
      <c r="J112" s="623"/>
      <c r="K112" s="623"/>
      <c r="L112" s="623"/>
      <c r="M112" s="623"/>
    </row>
    <row r="113" spans="1:17" ht="17.25" customHeight="1" x14ac:dyDescent="0.25">
      <c r="A113" s="1" t="s">
        <v>240</v>
      </c>
      <c r="B113" s="7"/>
      <c r="C113" s="7"/>
      <c r="D113" s="7"/>
      <c r="E113" s="7"/>
      <c r="F113" s="7"/>
      <c r="G113" s="7"/>
      <c r="H113" s="110"/>
      <c r="I113" s="111"/>
      <c r="J113" s="7"/>
      <c r="K113" s="7"/>
      <c r="L113" s="7"/>
      <c r="M113" s="7"/>
    </row>
    <row r="114" spans="1:17" ht="17.25" customHeight="1" x14ac:dyDescent="0.25">
      <c r="A114" s="1" t="s">
        <v>241</v>
      </c>
      <c r="B114" s="7"/>
      <c r="C114" s="7"/>
      <c r="D114" s="7"/>
      <c r="E114" s="7"/>
      <c r="F114" s="7"/>
      <c r="G114" s="7"/>
      <c r="H114" s="110"/>
      <c r="I114" s="111"/>
      <c r="J114" s="7"/>
      <c r="K114" s="7"/>
      <c r="L114" s="7"/>
      <c r="M114" s="7"/>
    </row>
    <row r="115" spans="1:17" ht="21.75" hidden="1" customHeight="1" x14ac:dyDescent="0.25">
      <c r="A115" s="640" t="s">
        <v>242</v>
      </c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</row>
    <row r="116" spans="1:17" ht="21.75" hidden="1" customHeight="1" x14ac:dyDescent="0.25">
      <c r="A116" s="641"/>
      <c r="B116" s="641"/>
      <c r="C116" s="641"/>
      <c r="D116" s="641"/>
      <c r="E116" s="641"/>
      <c r="F116" s="641"/>
      <c r="G116" s="641"/>
      <c r="H116" s="641"/>
      <c r="I116" s="641"/>
      <c r="J116" s="641"/>
      <c r="K116" s="641"/>
      <c r="L116" s="641"/>
      <c r="M116" s="641"/>
    </row>
    <row r="117" spans="1:17" ht="25.5" customHeight="1" x14ac:dyDescent="0.25">
      <c r="A117" s="624" t="s">
        <v>6</v>
      </c>
      <c r="B117" s="625"/>
      <c r="C117" s="524" t="s">
        <v>138</v>
      </c>
      <c r="D117" s="542" t="s">
        <v>8</v>
      </c>
      <c r="E117" s="542"/>
      <c r="F117" s="542"/>
      <c r="G117" s="626" t="s">
        <v>139</v>
      </c>
      <c r="H117" s="627" t="s">
        <v>140</v>
      </c>
      <c r="I117" s="113" t="s">
        <v>141</v>
      </c>
      <c r="J117" s="114" t="s">
        <v>12</v>
      </c>
      <c r="K117" s="114" t="s">
        <v>13</v>
      </c>
      <c r="L117" s="114" t="s">
        <v>14</v>
      </c>
      <c r="M117" s="165" t="s">
        <v>142</v>
      </c>
      <c r="N117" s="166"/>
    </row>
    <row r="118" spans="1:17" ht="20.25" customHeight="1" x14ac:dyDescent="0.25">
      <c r="A118" s="114" t="s">
        <v>143</v>
      </c>
      <c r="B118" s="114" t="s">
        <v>17</v>
      </c>
      <c r="C118" s="527"/>
      <c r="D118" s="114" t="s">
        <v>18</v>
      </c>
      <c r="E118" s="114" t="s">
        <v>19</v>
      </c>
      <c r="F118" s="114" t="s">
        <v>20</v>
      </c>
      <c r="G118" s="626"/>
      <c r="H118" s="628"/>
      <c r="I118" s="113" t="s">
        <v>144</v>
      </c>
      <c r="J118" s="114"/>
      <c r="K118" s="114" t="s">
        <v>22</v>
      </c>
      <c r="L118" s="114" t="s">
        <v>23</v>
      </c>
      <c r="M118" s="114" t="s">
        <v>24</v>
      </c>
    </row>
    <row r="119" spans="1:17" ht="16.5" customHeight="1" x14ac:dyDescent="0.25">
      <c r="A119" s="542" t="s">
        <v>146</v>
      </c>
      <c r="B119" s="25" t="s">
        <v>21</v>
      </c>
      <c r="C119" s="121">
        <f>+G119*100/J120</f>
        <v>263692.80000000005</v>
      </c>
      <c r="D119" s="117">
        <f>+G119*D120/100</f>
        <v>232577.0496</v>
      </c>
      <c r="E119" s="117">
        <f>+G119*E120/100</f>
        <v>18089.326079999999</v>
      </c>
      <c r="F119" s="117">
        <f>+G119*F120/100</f>
        <v>7752.5683200000003</v>
      </c>
      <c r="G119" s="117">
        <f>+I119*H119</f>
        <v>258418.94400000002</v>
      </c>
      <c r="H119" s="16">
        <v>18</v>
      </c>
      <c r="I119" s="17">
        <f>10.9*0.96*1400*0.98</f>
        <v>14356.608</v>
      </c>
      <c r="J119" s="119"/>
      <c r="K119" s="600">
        <v>4395</v>
      </c>
      <c r="L119" s="602"/>
      <c r="M119" s="119"/>
    </row>
    <row r="120" spans="1:17" ht="16.5" customHeight="1" x14ac:dyDescent="0.25">
      <c r="A120" s="542"/>
      <c r="B120" s="25" t="s">
        <v>26</v>
      </c>
      <c r="C120" s="121"/>
      <c r="D120" s="21">
        <v>90</v>
      </c>
      <c r="E120" s="21">
        <v>7</v>
      </c>
      <c r="F120" s="21">
        <v>3</v>
      </c>
      <c r="G120" s="21">
        <v>100</v>
      </c>
      <c r="H120" s="122"/>
      <c r="I120" s="123"/>
      <c r="J120" s="16">
        <v>98</v>
      </c>
      <c r="K120" s="629">
        <f>100-J120</f>
        <v>2</v>
      </c>
      <c r="L120" s="629"/>
      <c r="M120" s="120">
        <v>40</v>
      </c>
    </row>
    <row r="121" spans="1:17" ht="16.5" customHeight="1" x14ac:dyDescent="0.25">
      <c r="A121" s="542" t="s">
        <v>145</v>
      </c>
      <c r="B121" s="25" t="s">
        <v>21</v>
      </c>
      <c r="C121" s="121">
        <f>+G121*100/J122</f>
        <v>161805</v>
      </c>
      <c r="D121" s="117">
        <f>+G121*D122/100</f>
        <v>142712.01</v>
      </c>
      <c r="E121" s="117">
        <f>+G121*E122/100</f>
        <v>11099.823</v>
      </c>
      <c r="F121" s="117">
        <f>+G121*F122/100</f>
        <v>4757.0669999999991</v>
      </c>
      <c r="G121" s="117">
        <f>+I121*H121</f>
        <v>158568.9</v>
      </c>
      <c r="H121" s="16">
        <v>11.5</v>
      </c>
      <c r="I121" s="17">
        <f>21*0.5*1340*0.98</f>
        <v>13788.6</v>
      </c>
      <c r="J121" s="119"/>
      <c r="K121" s="600">
        <v>4080</v>
      </c>
      <c r="L121" s="602"/>
      <c r="M121" s="119"/>
    </row>
    <row r="122" spans="1:17" ht="16.5" customHeight="1" x14ac:dyDescent="0.25">
      <c r="A122" s="542"/>
      <c r="B122" s="25" t="s">
        <v>26</v>
      </c>
      <c r="C122" s="121"/>
      <c r="D122" s="21">
        <v>90</v>
      </c>
      <c r="E122" s="21">
        <v>7</v>
      </c>
      <c r="F122" s="21">
        <v>3</v>
      </c>
      <c r="G122" s="21">
        <v>100</v>
      </c>
      <c r="H122" s="122"/>
      <c r="I122" s="123"/>
      <c r="J122" s="16">
        <v>98</v>
      </c>
      <c r="K122" s="629">
        <f>100-J122</f>
        <v>2</v>
      </c>
      <c r="L122" s="629"/>
      <c r="M122" s="120">
        <v>100</v>
      </c>
    </row>
    <row r="123" spans="1:17" ht="16.5" customHeight="1" x14ac:dyDescent="0.25">
      <c r="A123" s="542" t="s">
        <v>147</v>
      </c>
      <c r="B123" s="25" t="s">
        <v>21</v>
      </c>
      <c r="C123" s="121">
        <f>+C119+C121</f>
        <v>425497.80000000005</v>
      </c>
      <c r="D123" s="121">
        <f t="shared" ref="D123:H123" si="76">+D119+D121</f>
        <v>375289.05960000004</v>
      </c>
      <c r="E123" s="121">
        <f t="shared" si="76"/>
        <v>29189.149079999999</v>
      </c>
      <c r="F123" s="121">
        <f t="shared" si="76"/>
        <v>12509.635319999999</v>
      </c>
      <c r="G123" s="121">
        <f t="shared" si="76"/>
        <v>416987.84400000004</v>
      </c>
      <c r="H123" s="173">
        <f t="shared" si="76"/>
        <v>29.5</v>
      </c>
      <c r="I123" s="121">
        <f>+G123/H123</f>
        <v>14135.181152542375</v>
      </c>
      <c r="J123" s="123"/>
      <c r="K123" s="119"/>
      <c r="L123" s="120"/>
      <c r="M123" s="120"/>
    </row>
    <row r="124" spans="1:17" ht="16.5" customHeight="1" x14ac:dyDescent="0.25">
      <c r="A124" s="542"/>
      <c r="B124" s="25" t="s">
        <v>26</v>
      </c>
      <c r="C124" s="105"/>
      <c r="D124" s="125">
        <f>+D123/G123*100</f>
        <v>90</v>
      </c>
      <c r="E124" s="125">
        <f>+E123/G123*100</f>
        <v>6.9999999999999991</v>
      </c>
      <c r="F124" s="125">
        <f>+F123/G123*100</f>
        <v>2.9999999999999996</v>
      </c>
      <c r="G124" s="21">
        <v>100</v>
      </c>
      <c r="H124" s="122"/>
      <c r="I124" s="122"/>
      <c r="J124" s="16"/>
      <c r="K124" s="629"/>
      <c r="L124" s="629"/>
      <c r="M124" s="67"/>
    </row>
    <row r="125" spans="1:17" ht="16.5" customHeight="1" x14ac:dyDescent="0.25">
      <c r="A125" s="112" t="s">
        <v>243</v>
      </c>
      <c r="B125" s="8"/>
      <c r="C125" s="7"/>
      <c r="D125" s="7"/>
      <c r="E125" s="7"/>
      <c r="F125" s="7"/>
      <c r="G125" s="7"/>
      <c r="J125" s="7"/>
      <c r="K125" s="7"/>
      <c r="L125" s="7"/>
      <c r="M125" s="7"/>
    </row>
    <row r="126" spans="1:17" ht="27.75" customHeight="1" x14ac:dyDescent="0.25">
      <c r="A126" s="624" t="s">
        <v>6</v>
      </c>
      <c r="B126" s="625"/>
      <c r="C126" s="524" t="s">
        <v>138</v>
      </c>
      <c r="D126" s="542" t="s">
        <v>8</v>
      </c>
      <c r="E126" s="542"/>
      <c r="F126" s="542"/>
      <c r="G126" s="626" t="s">
        <v>139</v>
      </c>
      <c r="H126" s="627" t="s">
        <v>149</v>
      </c>
      <c r="I126" s="126" t="s">
        <v>141</v>
      </c>
      <c r="J126" s="628" t="s">
        <v>12</v>
      </c>
      <c r="K126" s="114" t="s">
        <v>13</v>
      </c>
      <c r="L126" s="114" t="s">
        <v>14</v>
      </c>
      <c r="M126" s="165" t="s">
        <v>142</v>
      </c>
    </row>
    <row r="127" spans="1:17" ht="17.25" customHeight="1" x14ac:dyDescent="0.25">
      <c r="A127" s="114" t="s">
        <v>151</v>
      </c>
      <c r="B127" s="114" t="s">
        <v>17</v>
      </c>
      <c r="C127" s="527"/>
      <c r="D127" s="114" t="s">
        <v>18</v>
      </c>
      <c r="E127" s="114" t="s">
        <v>19</v>
      </c>
      <c r="F127" s="114" t="s">
        <v>20</v>
      </c>
      <c r="G127" s="542"/>
      <c r="H127" s="627"/>
      <c r="I127" s="113" t="s">
        <v>144</v>
      </c>
      <c r="J127" s="628"/>
      <c r="K127" s="114" t="s">
        <v>22</v>
      </c>
      <c r="L127" s="114" t="s">
        <v>23</v>
      </c>
      <c r="M127" s="114" t="s">
        <v>24</v>
      </c>
      <c r="Q127">
        <f>15410*31</f>
        <v>477710</v>
      </c>
    </row>
    <row r="128" spans="1:17" ht="17.25" customHeight="1" x14ac:dyDescent="0.25">
      <c r="A128" s="542" t="s">
        <v>146</v>
      </c>
      <c r="B128" s="25" t="s">
        <v>21</v>
      </c>
      <c r="C128" s="121">
        <f>+G128*100/J129</f>
        <v>268966.65599999996</v>
      </c>
      <c r="D128" s="127">
        <f t="shared" ref="D128:E130" si="77">+$G$128*D129/100</f>
        <v>242995.23569664001</v>
      </c>
      <c r="E128" s="127">
        <f t="shared" si="77"/>
        <v>15847.515371519999</v>
      </c>
      <c r="F128" s="127">
        <f>+$G$128*F129/100</f>
        <v>5282.5051238400001</v>
      </c>
      <c r="G128" s="127">
        <f>+I128*H128</f>
        <v>264125.256192</v>
      </c>
      <c r="H128" s="16">
        <v>18</v>
      </c>
      <c r="I128" s="17">
        <f>10.9*0.96*1400*0.982*1.02</f>
        <v>14673.625344</v>
      </c>
      <c r="J128" s="129"/>
      <c r="K128" s="120"/>
      <c r="L128" s="120"/>
      <c r="M128" s="130"/>
      <c r="O128" s="131"/>
      <c r="Q128">
        <f>+Q127/100*98.2</f>
        <v>469111.22000000003</v>
      </c>
    </row>
    <row r="129" spans="1:17" ht="17.25" customHeight="1" x14ac:dyDescent="0.25">
      <c r="A129" s="542"/>
      <c r="B129" s="25" t="s">
        <v>26</v>
      </c>
      <c r="C129" s="105"/>
      <c r="D129" s="21">
        <v>92</v>
      </c>
      <c r="E129" s="21">
        <v>6</v>
      </c>
      <c r="F129" s="21">
        <v>2</v>
      </c>
      <c r="G129" s="21">
        <v>100</v>
      </c>
      <c r="H129" s="129"/>
      <c r="I129" s="128"/>
      <c r="J129" s="132">
        <v>98.2</v>
      </c>
      <c r="K129" s="634">
        <f>100-J129</f>
        <v>1.7999999999999972</v>
      </c>
      <c r="L129" s="634"/>
      <c r="M129" s="134">
        <v>25</v>
      </c>
      <c r="N129" s="131"/>
    </row>
    <row r="130" spans="1:17" ht="17.25" customHeight="1" x14ac:dyDescent="0.25">
      <c r="A130" s="542" t="s">
        <v>145</v>
      </c>
      <c r="B130" s="25" t="s">
        <v>21</v>
      </c>
      <c r="C130" s="121">
        <f>+G130*100/J131</f>
        <v>165041.09999999998</v>
      </c>
      <c r="D130" s="127">
        <f t="shared" si="77"/>
        <v>242995.23569664001</v>
      </c>
      <c r="E130" s="127">
        <f t="shared" si="77"/>
        <v>15847.515371519999</v>
      </c>
      <c r="F130" s="127">
        <f>+$G$128*F131/100</f>
        <v>5282.5051238400001</v>
      </c>
      <c r="G130" s="127">
        <f>+I130*H130</f>
        <v>162070.3602</v>
      </c>
      <c r="H130" s="16">
        <v>11.5</v>
      </c>
      <c r="I130" s="17">
        <f>21*0.5*1340*0.982*1.02</f>
        <v>14093.0748</v>
      </c>
      <c r="J130" s="129"/>
      <c r="K130" s="120"/>
      <c r="L130" s="120"/>
      <c r="M130" s="130"/>
      <c r="O130" s="131"/>
      <c r="Q130">
        <f>+Q129/100*98.2</f>
        <v>0</v>
      </c>
    </row>
    <row r="131" spans="1:17" ht="17.25" customHeight="1" x14ac:dyDescent="0.25">
      <c r="A131" s="542"/>
      <c r="B131" s="25" t="s">
        <v>26</v>
      </c>
      <c r="C131" s="105"/>
      <c r="D131" s="21">
        <v>92</v>
      </c>
      <c r="E131" s="21">
        <v>6</v>
      </c>
      <c r="F131" s="21">
        <v>2</v>
      </c>
      <c r="G131" s="21">
        <v>100</v>
      </c>
      <c r="H131" s="129"/>
      <c r="I131" s="128"/>
      <c r="J131" s="132">
        <v>98.2</v>
      </c>
      <c r="K131" s="634">
        <f>100-J131</f>
        <v>1.7999999999999972</v>
      </c>
      <c r="L131" s="634"/>
      <c r="M131" s="134">
        <v>80</v>
      </c>
      <c r="N131" s="131"/>
    </row>
    <row r="132" spans="1:17" ht="17.25" customHeight="1" x14ac:dyDescent="0.25">
      <c r="A132" s="542" t="s">
        <v>147</v>
      </c>
      <c r="B132" s="25" t="s">
        <v>21</v>
      </c>
      <c r="C132" s="127">
        <f>+C130+C128</f>
        <v>434007.75599999994</v>
      </c>
      <c r="D132" s="127">
        <f t="shared" ref="D132:G132" si="78">+D130+D128</f>
        <v>485990.47139328002</v>
      </c>
      <c r="E132" s="127">
        <f t="shared" si="78"/>
        <v>31695.030743039999</v>
      </c>
      <c r="F132" s="127">
        <f t="shared" si="78"/>
        <v>10565.01024768</v>
      </c>
      <c r="G132" s="127">
        <f t="shared" si="78"/>
        <v>426195.616392</v>
      </c>
      <c r="H132" s="174">
        <f>+H130+H128</f>
        <v>29.5</v>
      </c>
      <c r="I132" s="127">
        <f>+G132/H132</f>
        <v>14447.309030237288</v>
      </c>
      <c r="J132" s="129"/>
      <c r="K132" s="129"/>
      <c r="L132" s="129"/>
      <c r="M132" s="130"/>
    </row>
    <row r="133" spans="1:17" ht="17.25" customHeight="1" x14ac:dyDescent="0.25">
      <c r="A133" s="542"/>
      <c r="B133" s="25" t="s">
        <v>26</v>
      </c>
      <c r="C133" s="105"/>
      <c r="D133" s="135">
        <f>+D132/G132</f>
        <v>1.1402990849776427</v>
      </c>
      <c r="E133" s="136">
        <f>+E132/G132</f>
        <v>7.4367331628976699E-2</v>
      </c>
      <c r="F133" s="135">
        <f>+F132/G132</f>
        <v>2.4789110542992234E-2</v>
      </c>
      <c r="G133" s="21">
        <v>100</v>
      </c>
      <c r="H133" s="129"/>
      <c r="I133" s="129"/>
      <c r="J133" s="132"/>
      <c r="K133" s="634"/>
      <c r="L133" s="634"/>
      <c r="M133" s="58"/>
    </row>
    <row r="134" spans="1:17" ht="6" customHeight="1" x14ac:dyDescent="0.25">
      <c r="A134" s="7"/>
      <c r="B134" s="7"/>
      <c r="C134" s="7"/>
      <c r="D134" s="7"/>
      <c r="E134" s="7"/>
      <c r="F134" s="7"/>
      <c r="G134" s="7"/>
      <c r="J134" s="7"/>
      <c r="K134" s="7"/>
      <c r="L134" s="7"/>
      <c r="M134" s="7"/>
    </row>
    <row r="135" spans="1:17" ht="17.25" customHeight="1" x14ac:dyDescent="0.25">
      <c r="A135" s="1" t="s">
        <v>244</v>
      </c>
      <c r="B135" s="7"/>
      <c r="C135" s="7"/>
      <c r="D135" s="7"/>
      <c r="E135" s="7"/>
      <c r="F135" s="7"/>
      <c r="G135" s="7"/>
      <c r="J135" s="7"/>
      <c r="K135" s="7"/>
      <c r="L135" s="7"/>
      <c r="M135" s="7"/>
    </row>
    <row r="136" spans="1:17" ht="17.25" customHeight="1" x14ac:dyDescent="0.25">
      <c r="A136" s="137" t="s">
        <v>245</v>
      </c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Q136" t="e">
        <v>#REF!</v>
      </c>
    </row>
    <row r="137" spans="1:17" ht="17.25" customHeight="1" x14ac:dyDescent="0.25">
      <c r="A137" s="1" t="s">
        <v>154</v>
      </c>
      <c r="B137" s="7"/>
      <c r="C137" s="7"/>
      <c r="D137" s="7"/>
      <c r="E137" s="7"/>
      <c r="F137" s="7"/>
      <c r="G137" s="7"/>
      <c r="J137" s="7"/>
      <c r="K137" s="7"/>
      <c r="L137" s="7"/>
      <c r="M137" s="7"/>
    </row>
    <row r="138" spans="1:17" ht="17.25" customHeight="1" x14ac:dyDescent="0.25">
      <c r="A138" s="630" t="s">
        <v>246</v>
      </c>
      <c r="B138" s="630"/>
      <c r="C138" s="630"/>
      <c r="D138" s="630"/>
      <c r="E138" s="630"/>
      <c r="F138" s="630"/>
      <c r="G138" s="630"/>
      <c r="H138" s="630"/>
      <c r="I138" s="630"/>
      <c r="J138" s="630"/>
      <c r="K138" s="630"/>
      <c r="L138" s="630"/>
      <c r="M138" s="630"/>
    </row>
    <row r="139" spans="1:17" ht="17.25" customHeight="1" x14ac:dyDescent="0.25">
      <c r="A139" s="631" t="s">
        <v>156</v>
      </c>
      <c r="B139" s="631"/>
      <c r="C139" s="631"/>
      <c r="D139" s="631"/>
      <c r="E139" s="631"/>
      <c r="F139" s="631"/>
      <c r="G139" s="631"/>
      <c r="H139" s="631"/>
      <c r="I139" s="631"/>
      <c r="J139" s="631"/>
      <c r="K139" s="631"/>
      <c r="L139" s="631"/>
      <c r="M139" s="631"/>
    </row>
    <row r="140" spans="1:17" ht="17.25" customHeight="1" x14ac:dyDescent="0.25">
      <c r="A140" s="139" t="s">
        <v>157</v>
      </c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</row>
    <row r="141" spans="1:17" ht="17.25" customHeight="1" x14ac:dyDescent="0.25">
      <c r="A141" s="141" t="s">
        <v>158</v>
      </c>
      <c r="B141" s="7"/>
      <c r="C141" s="7"/>
      <c r="D141" s="7"/>
      <c r="E141" s="7"/>
      <c r="F141" s="7"/>
      <c r="G141" s="7"/>
      <c r="J141" s="632" t="s">
        <v>247</v>
      </c>
      <c r="K141" s="632"/>
      <c r="L141" s="632"/>
      <c r="M141" s="632"/>
    </row>
    <row r="142" spans="1:17" ht="19.5" customHeight="1" x14ac:dyDescent="0.25">
      <c r="A142" s="7"/>
      <c r="B142" s="7"/>
      <c r="C142" s="7"/>
      <c r="D142" s="633" t="s">
        <v>160</v>
      </c>
      <c r="E142" s="633"/>
      <c r="F142" s="7"/>
      <c r="G142" s="7"/>
      <c r="J142" s="7"/>
      <c r="K142" s="1" t="s">
        <v>161</v>
      </c>
      <c r="L142" s="7"/>
      <c r="M142" s="7"/>
    </row>
    <row r="143" spans="1:17" x14ac:dyDescent="0.25">
      <c r="A143" s="141"/>
      <c r="B143" s="7"/>
      <c r="C143" s="7"/>
      <c r="D143" s="7"/>
      <c r="E143" s="7"/>
      <c r="F143" s="7"/>
      <c r="G143" s="7"/>
      <c r="J143" s="7"/>
      <c r="K143" s="7"/>
      <c r="L143" s="7"/>
      <c r="M143" s="7"/>
    </row>
    <row r="144" spans="1:17" x14ac:dyDescent="0.25">
      <c r="A144" s="143" t="s">
        <v>162</v>
      </c>
      <c r="B144" s="7"/>
      <c r="C144" s="7"/>
      <c r="D144" s="7"/>
      <c r="E144" s="7"/>
      <c r="F144" s="7"/>
      <c r="G144" s="7"/>
      <c r="J144" s="7"/>
      <c r="K144" s="7"/>
      <c r="L144" s="7"/>
      <c r="M144" s="7"/>
    </row>
    <row r="145" spans="1:13" x14ac:dyDescent="0.25">
      <c r="A145" s="2" t="s">
        <v>163</v>
      </c>
      <c r="B145" s="7"/>
      <c r="C145" s="7"/>
      <c r="D145" s="7"/>
      <c r="E145" s="7"/>
      <c r="F145" s="7"/>
      <c r="G145" s="7"/>
      <c r="J145" s="7"/>
      <c r="K145" s="7"/>
      <c r="L145" s="7"/>
      <c r="M145" s="7"/>
    </row>
    <row r="146" spans="1:13" x14ac:dyDescent="0.25">
      <c r="A146" s="2" t="s">
        <v>164</v>
      </c>
      <c r="B146" s="7"/>
      <c r="C146" s="7"/>
      <c r="D146" s="7"/>
      <c r="E146" s="7"/>
      <c r="F146" s="7"/>
      <c r="G146" s="7"/>
      <c r="J146" s="7"/>
      <c r="K146" s="7"/>
      <c r="L146" s="7"/>
      <c r="M146" s="7"/>
    </row>
    <row r="147" spans="1:13" x14ac:dyDescent="0.25">
      <c r="A147" s="144" t="s">
        <v>165</v>
      </c>
      <c r="B147" s="7"/>
      <c r="C147" s="7"/>
      <c r="D147" s="7"/>
      <c r="E147" s="7"/>
      <c r="F147" s="7"/>
      <c r="G147" s="7"/>
      <c r="J147" s="632" t="s">
        <v>166</v>
      </c>
      <c r="K147" s="632"/>
      <c r="L147" s="632"/>
      <c r="M147" s="632"/>
    </row>
    <row r="148" spans="1:13" x14ac:dyDescent="0.25">
      <c r="A148" s="2"/>
      <c r="B148" s="7"/>
      <c r="C148" s="7"/>
      <c r="D148" s="7"/>
      <c r="E148" s="7"/>
      <c r="F148" s="7"/>
      <c r="G148" s="7"/>
      <c r="J148" s="7"/>
      <c r="K148" s="632"/>
      <c r="L148" s="632"/>
      <c r="M148" s="7"/>
    </row>
    <row r="149" spans="1:13" x14ac:dyDescent="0.25">
      <c r="A149" s="144"/>
      <c r="B149" s="7"/>
      <c r="C149" s="7"/>
      <c r="D149" s="7"/>
      <c r="E149" s="7"/>
      <c r="F149" s="7"/>
      <c r="G149" s="7"/>
      <c r="J149" s="7"/>
      <c r="K149" s="7"/>
      <c r="L149" s="7"/>
      <c r="M149" s="7"/>
    </row>
    <row r="150" spans="1:13" x14ac:dyDescent="0.25">
      <c r="A150" s="2"/>
      <c r="B150" s="7"/>
      <c r="C150" s="7"/>
      <c r="D150" s="7"/>
      <c r="E150" s="7"/>
      <c r="F150" s="7"/>
      <c r="G150" s="7"/>
      <c r="J150" s="7"/>
      <c r="K150" s="7"/>
      <c r="L150" s="7"/>
      <c r="M150" s="7"/>
    </row>
    <row r="151" spans="1:13" x14ac:dyDescent="0.25">
      <c r="A151" s="145"/>
    </row>
    <row r="152" spans="1:13" x14ac:dyDescent="0.25">
      <c r="A152" s="145"/>
    </row>
    <row r="157" spans="1:13" ht="15.75" x14ac:dyDescent="0.25">
      <c r="A157" s="146"/>
    </row>
    <row r="158" spans="1:13" ht="15.75" x14ac:dyDescent="0.25">
      <c r="A158" s="146"/>
    </row>
    <row r="159" spans="1:13" ht="15.75" x14ac:dyDescent="0.25">
      <c r="A159" s="146"/>
    </row>
    <row r="160" spans="1:13" ht="15.75" x14ac:dyDescent="0.25">
      <c r="A160" s="146"/>
    </row>
    <row r="161" spans="1:1" ht="15.75" x14ac:dyDescent="0.25">
      <c r="A161" s="146"/>
    </row>
    <row r="162" spans="1:1" ht="15.75" x14ac:dyDescent="0.25">
      <c r="A162" s="147"/>
    </row>
  </sheetData>
  <mergeCells count="373">
    <mergeCell ref="A138:M138"/>
    <mergeCell ref="A139:M139"/>
    <mergeCell ref="J141:M141"/>
    <mergeCell ref="D142:E142"/>
    <mergeCell ref="J147:M147"/>
    <mergeCell ref="K148:L148"/>
    <mergeCell ref="A128:A129"/>
    <mergeCell ref="K129:L129"/>
    <mergeCell ref="A130:A131"/>
    <mergeCell ref="K131:L131"/>
    <mergeCell ref="A132:A133"/>
    <mergeCell ref="K133:L133"/>
    <mergeCell ref="A123:A124"/>
    <mergeCell ref="K124:L124"/>
    <mergeCell ref="A126:B126"/>
    <mergeCell ref="C126:C127"/>
    <mergeCell ref="D126:F126"/>
    <mergeCell ref="G126:G127"/>
    <mergeCell ref="H126:H127"/>
    <mergeCell ref="J126:J127"/>
    <mergeCell ref="A119:A120"/>
    <mergeCell ref="K119:L119"/>
    <mergeCell ref="K120:L120"/>
    <mergeCell ref="A121:A122"/>
    <mergeCell ref="K121:L121"/>
    <mergeCell ref="K122:L122"/>
    <mergeCell ref="A112:F112"/>
    <mergeCell ref="H112:M112"/>
    <mergeCell ref="A115:M116"/>
    <mergeCell ref="A117:B117"/>
    <mergeCell ref="C117:C118"/>
    <mergeCell ref="D117:F117"/>
    <mergeCell ref="G117:G118"/>
    <mergeCell ref="H117:H118"/>
    <mergeCell ref="A109:A111"/>
    <mergeCell ref="B109:B110"/>
    <mergeCell ref="C109:D110"/>
    <mergeCell ref="H109:I109"/>
    <mergeCell ref="J109:M109"/>
    <mergeCell ref="H110:I110"/>
    <mergeCell ref="C111:D111"/>
    <mergeCell ref="H111:I111"/>
    <mergeCell ref="J111:M111"/>
    <mergeCell ref="A106:C106"/>
    <mergeCell ref="H106:I106"/>
    <mergeCell ref="K106:M106"/>
    <mergeCell ref="C108:D108"/>
    <mergeCell ref="H108:I108"/>
    <mergeCell ref="J108:M108"/>
    <mergeCell ref="B104:C104"/>
    <mergeCell ref="H104:I104"/>
    <mergeCell ref="K104:M104"/>
    <mergeCell ref="B105:C105"/>
    <mergeCell ref="H105:I105"/>
    <mergeCell ref="K105:M105"/>
    <mergeCell ref="B102:C102"/>
    <mergeCell ref="H102:I102"/>
    <mergeCell ref="K102:M102"/>
    <mergeCell ref="B103:C103"/>
    <mergeCell ref="H103:I103"/>
    <mergeCell ref="K103:M103"/>
    <mergeCell ref="B100:C100"/>
    <mergeCell ref="H100:I100"/>
    <mergeCell ref="K100:M100"/>
    <mergeCell ref="B101:C101"/>
    <mergeCell ref="H101:I101"/>
    <mergeCell ref="K101:M101"/>
    <mergeCell ref="B96:C96"/>
    <mergeCell ref="G96:H96"/>
    <mergeCell ref="A98:C98"/>
    <mergeCell ref="H98:I98"/>
    <mergeCell ref="K98:M98"/>
    <mergeCell ref="B99:C99"/>
    <mergeCell ref="H99:I99"/>
    <mergeCell ref="K99:M99"/>
    <mergeCell ref="B94:C94"/>
    <mergeCell ref="G94:H94"/>
    <mergeCell ref="K94:L94"/>
    <mergeCell ref="B95:C95"/>
    <mergeCell ref="G95:H95"/>
    <mergeCell ref="K95:M95"/>
    <mergeCell ref="B91:C91"/>
    <mergeCell ref="G91:H91"/>
    <mergeCell ref="K91:M91"/>
    <mergeCell ref="B92:C92"/>
    <mergeCell ref="G92:H92"/>
    <mergeCell ref="B93:C93"/>
    <mergeCell ref="G93:H93"/>
    <mergeCell ref="K88:M88"/>
    <mergeCell ref="B89:C89"/>
    <mergeCell ref="G89:H89"/>
    <mergeCell ref="K89:M89"/>
    <mergeCell ref="B90:C90"/>
    <mergeCell ref="G90:H90"/>
    <mergeCell ref="B86:C86"/>
    <mergeCell ref="G86:H86"/>
    <mergeCell ref="B87:C87"/>
    <mergeCell ref="G87:H87"/>
    <mergeCell ref="B88:C88"/>
    <mergeCell ref="G88:H88"/>
    <mergeCell ref="B82:C82"/>
    <mergeCell ref="G82:H82"/>
    <mergeCell ref="B84:C84"/>
    <mergeCell ref="G84:H84"/>
    <mergeCell ref="K84:M84"/>
    <mergeCell ref="B85:C85"/>
    <mergeCell ref="G85:H85"/>
    <mergeCell ref="K85:M85"/>
    <mergeCell ref="B80:C80"/>
    <mergeCell ref="G80:H80"/>
    <mergeCell ref="K80:M80"/>
    <mergeCell ref="B81:C81"/>
    <mergeCell ref="G81:H81"/>
    <mergeCell ref="K81:M81"/>
    <mergeCell ref="B78:C78"/>
    <mergeCell ref="G78:H78"/>
    <mergeCell ref="K78:M78"/>
    <mergeCell ref="B79:C79"/>
    <mergeCell ref="G79:H79"/>
    <mergeCell ref="K79:M79"/>
    <mergeCell ref="B76:C76"/>
    <mergeCell ref="G76:H76"/>
    <mergeCell ref="K76:M76"/>
    <mergeCell ref="B77:C77"/>
    <mergeCell ref="G77:H77"/>
    <mergeCell ref="K77:M77"/>
    <mergeCell ref="D72:E72"/>
    <mergeCell ref="F72:G72"/>
    <mergeCell ref="H72:I72"/>
    <mergeCell ref="J72:K72"/>
    <mergeCell ref="B70:C70"/>
    <mergeCell ref="D70:E70"/>
    <mergeCell ref="F70:G70"/>
    <mergeCell ref="H70:I70"/>
    <mergeCell ref="J70:K70"/>
    <mergeCell ref="A67:A68"/>
    <mergeCell ref="B67:C67"/>
    <mergeCell ref="D67:E67"/>
    <mergeCell ref="F67:G67"/>
    <mergeCell ref="H67:I67"/>
    <mergeCell ref="J67:K67"/>
    <mergeCell ref="B68:C68"/>
    <mergeCell ref="A71:A72"/>
    <mergeCell ref="B71:C71"/>
    <mergeCell ref="D71:E71"/>
    <mergeCell ref="F71:G71"/>
    <mergeCell ref="H71:I71"/>
    <mergeCell ref="D68:E68"/>
    <mergeCell ref="F68:G68"/>
    <mergeCell ref="H68:I68"/>
    <mergeCell ref="J68:K68"/>
    <mergeCell ref="A69:A70"/>
    <mergeCell ref="B69:C69"/>
    <mergeCell ref="D69:E69"/>
    <mergeCell ref="F69:G69"/>
    <mergeCell ref="H69:I69"/>
    <mergeCell ref="J69:K69"/>
    <mergeCell ref="J71:K71"/>
    <mergeCell ref="B72:C72"/>
    <mergeCell ref="A65:A66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J62:K62"/>
    <mergeCell ref="A63:A64"/>
    <mergeCell ref="B63:C63"/>
    <mergeCell ref="D63:E63"/>
    <mergeCell ref="F63:G63"/>
    <mergeCell ref="H63:I63"/>
    <mergeCell ref="J63:K63"/>
    <mergeCell ref="B64:C64"/>
    <mergeCell ref="D64:E64"/>
    <mergeCell ref="F64:G64"/>
    <mergeCell ref="A61:A62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H64:I64"/>
    <mergeCell ref="J64:K64"/>
    <mergeCell ref="A59:A60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H55:I55"/>
    <mergeCell ref="J55:K55"/>
    <mergeCell ref="B56:C56"/>
    <mergeCell ref="D56:E56"/>
    <mergeCell ref="F56:G56"/>
    <mergeCell ref="H56:I56"/>
    <mergeCell ref="A57:A58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L51:M52"/>
    <mergeCell ref="B52:C52"/>
    <mergeCell ref="D52:E52"/>
    <mergeCell ref="F52:G52"/>
    <mergeCell ref="H52:I52"/>
    <mergeCell ref="A53:A54"/>
    <mergeCell ref="B53:C53"/>
    <mergeCell ref="D53:E53"/>
    <mergeCell ref="F53:G53"/>
    <mergeCell ref="H53:I53"/>
    <mergeCell ref="J53:K53"/>
    <mergeCell ref="L53:M72"/>
    <mergeCell ref="B54:C54"/>
    <mergeCell ref="D54:E54"/>
    <mergeCell ref="F54:G54"/>
    <mergeCell ref="H54:I54"/>
    <mergeCell ref="J54:K54"/>
    <mergeCell ref="J56:K56"/>
    <mergeCell ref="J58:K58"/>
    <mergeCell ref="J60:K60"/>
    <mergeCell ref="A55:A56"/>
    <mergeCell ref="B55:C55"/>
    <mergeCell ref="D55:E55"/>
    <mergeCell ref="F55:G55"/>
    <mergeCell ref="A51:A52"/>
    <mergeCell ref="B51:I51"/>
    <mergeCell ref="J51:K52"/>
    <mergeCell ref="F47:G47"/>
    <mergeCell ref="H47:I47"/>
    <mergeCell ref="J47:K47"/>
    <mergeCell ref="A48:A49"/>
    <mergeCell ref="B48:C48"/>
    <mergeCell ref="D48:E48"/>
    <mergeCell ref="F48:G48"/>
    <mergeCell ref="H48:I48"/>
    <mergeCell ref="J48:K48"/>
    <mergeCell ref="B49:C49"/>
    <mergeCell ref="A46:A47"/>
    <mergeCell ref="B46:C46"/>
    <mergeCell ref="D46:E46"/>
    <mergeCell ref="F46:G46"/>
    <mergeCell ref="H46:I46"/>
    <mergeCell ref="J46:K46"/>
    <mergeCell ref="B47:C47"/>
    <mergeCell ref="D47:E47"/>
    <mergeCell ref="D49:E49"/>
    <mergeCell ref="F49:G49"/>
    <mergeCell ref="H49:I49"/>
    <mergeCell ref="A44:A45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A42:A43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A34:A35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L32:M49"/>
    <mergeCell ref="B33:C33"/>
    <mergeCell ref="D33:E33"/>
    <mergeCell ref="F33:G33"/>
    <mergeCell ref="H33:I33"/>
    <mergeCell ref="J33:K33"/>
    <mergeCell ref="J35:K35"/>
    <mergeCell ref="J37:K37"/>
    <mergeCell ref="J39:K39"/>
    <mergeCell ref="J41:K41"/>
    <mergeCell ref="J43:K43"/>
    <mergeCell ref="J49:K49"/>
    <mergeCell ref="A32:A33"/>
    <mergeCell ref="B32:C32"/>
    <mergeCell ref="D32:E32"/>
    <mergeCell ref="F32:G32"/>
    <mergeCell ref="H32:I32"/>
    <mergeCell ref="J32:K32"/>
    <mergeCell ref="A25:A26"/>
    <mergeCell ref="A30:A31"/>
    <mergeCell ref="B30:I30"/>
    <mergeCell ref="J30:K31"/>
    <mergeCell ref="L30:M31"/>
    <mergeCell ref="B31:C31"/>
    <mergeCell ref="D31:E31"/>
    <mergeCell ref="F31:G31"/>
    <mergeCell ref="H31:I31"/>
    <mergeCell ref="A19:A20"/>
    <mergeCell ref="K20:L20"/>
    <mergeCell ref="A21:A22"/>
    <mergeCell ref="K22:L22"/>
    <mergeCell ref="A23:A24"/>
    <mergeCell ref="K24:L24"/>
    <mergeCell ref="A11:A12"/>
    <mergeCell ref="K12:L12"/>
    <mergeCell ref="A13:A14"/>
    <mergeCell ref="K14:L14"/>
    <mergeCell ref="A15:A16"/>
    <mergeCell ref="A17:A18"/>
    <mergeCell ref="K18:L18"/>
    <mergeCell ref="A4:M4"/>
    <mergeCell ref="A9:B9"/>
    <mergeCell ref="D9:F9"/>
    <mergeCell ref="G9:G10"/>
    <mergeCell ref="H9:H10"/>
    <mergeCell ref="J9:J10"/>
  </mergeCells>
  <pageMargins left="0.19685039370078741" right="0.19685039370078741" top="0.19685039370078741" bottom="0.19685039370078741" header="0.2" footer="0.19685039370078741"/>
  <pageSetup paperSize="9" fitToHeight="0" orientation="landscape" r:id="rId1"/>
  <rowBreaks count="4" manualBreakCount="4">
    <brk id="43" max="12" man="1"/>
    <brk id="75" max="12" man="1"/>
    <brk id="106" max="12" man="1"/>
    <brk id="140" max="12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81"/>
  <sheetViews>
    <sheetView topLeftCell="A74" zoomScaleNormal="100" zoomScaleSheetLayoutView="90" workbookViewId="0">
      <selection activeCell="E97" sqref="E97"/>
    </sheetView>
  </sheetViews>
  <sheetFormatPr defaultRowHeight="15" x14ac:dyDescent="0.25"/>
  <cols>
    <col min="1" max="1" width="13.85546875" customWidth="1"/>
    <col min="2" max="2" width="7" customWidth="1"/>
    <col min="3" max="3" width="12" customWidth="1"/>
    <col min="4" max="5" width="12.42578125" customWidth="1"/>
    <col min="6" max="6" width="11.140625" customWidth="1"/>
    <col min="7" max="7" width="12.42578125" customWidth="1"/>
    <col min="8" max="8" width="10.7109375" style="5" customWidth="1"/>
    <col min="9" max="9" width="12.8554687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300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9.5" customHeight="1" x14ac:dyDescent="0.25">
      <c r="A6" s="1" t="s">
        <v>301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8.5" customHeight="1" x14ac:dyDescent="0.25">
      <c r="A9" s="524" t="s">
        <v>6</v>
      </c>
      <c r="B9" s="524"/>
      <c r="C9" s="180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180" t="s">
        <v>13</v>
      </c>
      <c r="L9" s="180" t="s">
        <v>14</v>
      </c>
      <c r="M9" s="180" t="s">
        <v>15</v>
      </c>
      <c r="N9" s="148"/>
    </row>
    <row r="10" spans="1:16" ht="18.75" customHeight="1" x14ac:dyDescent="0.25">
      <c r="A10" s="180" t="s">
        <v>16</v>
      </c>
      <c r="B10" s="180" t="s">
        <v>17</v>
      </c>
      <c r="C10" s="11"/>
      <c r="D10" s="180" t="s">
        <v>18</v>
      </c>
      <c r="E10" s="180" t="s">
        <v>19</v>
      </c>
      <c r="F10" s="180" t="s">
        <v>20</v>
      </c>
      <c r="G10" s="526"/>
      <c r="H10" s="527"/>
      <c r="I10" s="10" t="s">
        <v>21</v>
      </c>
      <c r="J10" s="526"/>
      <c r="K10" s="180" t="s">
        <v>22</v>
      </c>
      <c r="L10" s="180" t="s">
        <v>23</v>
      </c>
      <c r="M10" s="180" t="s">
        <v>24</v>
      </c>
    </row>
    <row r="11" spans="1:16" s="18" customFormat="1" ht="18" hidden="1" customHeight="1" x14ac:dyDescent="0.25">
      <c r="A11" s="530" t="s">
        <v>25</v>
      </c>
      <c r="B11" s="12" t="s">
        <v>21</v>
      </c>
      <c r="C11" s="116">
        <f>+G11*100/J12</f>
        <v>196980</v>
      </c>
      <c r="D11" s="117">
        <f>+$G$11*D12/100</f>
        <v>181457.97599999997</v>
      </c>
      <c r="E11" s="117">
        <f>+$G$11*E12/100</f>
        <v>5791.2119999999995</v>
      </c>
      <c r="F11" s="117">
        <f>+$G$11*F12/100</f>
        <v>5791.2119999999995</v>
      </c>
      <c r="G11" s="149">
        <f>+I11*H11</f>
        <v>193040.4</v>
      </c>
      <c r="H11" s="17">
        <v>14</v>
      </c>
      <c r="I11" s="17">
        <f>21*0.5*1340*0.98</f>
        <v>13788.6</v>
      </c>
      <c r="J11" s="12"/>
      <c r="K11" s="134"/>
      <c r="L11" s="150"/>
      <c r="M11" s="12"/>
      <c r="O11" s="19"/>
    </row>
    <row r="12" spans="1:16" s="18" customFormat="1" ht="18" hidden="1" customHeight="1" x14ac:dyDescent="0.25">
      <c r="A12" s="530"/>
      <c r="B12" s="12" t="s">
        <v>26</v>
      </c>
      <c r="C12" s="20"/>
      <c r="D12" s="21">
        <v>94</v>
      </c>
      <c r="E12" s="21">
        <v>3</v>
      </c>
      <c r="F12" s="21">
        <v>3</v>
      </c>
      <c r="G12" s="191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6" s="18" customFormat="1" ht="18" hidden="1" customHeight="1" x14ac:dyDescent="0.25">
      <c r="A13" s="530" t="s">
        <v>27</v>
      </c>
      <c r="B13" s="12" t="s">
        <v>21</v>
      </c>
      <c r="C13" s="151">
        <v>209653</v>
      </c>
      <c r="D13" s="191">
        <v>207028.5</v>
      </c>
      <c r="E13" s="14">
        <v>0</v>
      </c>
      <c r="F13" s="152">
        <v>1215</v>
      </c>
      <c r="G13" s="191">
        <f>SUM(D13:F13)</f>
        <v>208243.5</v>
      </c>
      <c r="H13" s="153">
        <v>14</v>
      </c>
      <c r="I13" s="26">
        <f>+G13/H13</f>
        <v>14874.535714285714</v>
      </c>
      <c r="J13" s="12"/>
      <c r="K13" s="152">
        <v>729</v>
      </c>
      <c r="L13" s="152">
        <v>603</v>
      </c>
      <c r="M13" s="12"/>
      <c r="N13" s="28"/>
      <c r="O13" s="19"/>
      <c r="P13" s="19">
        <f>+P12/10.9</f>
        <v>407273.39449541282</v>
      </c>
    </row>
    <row r="14" spans="1:16" s="18" customFormat="1" ht="18" hidden="1" customHeight="1" x14ac:dyDescent="0.25">
      <c r="A14" s="530"/>
      <c r="B14" s="12" t="s">
        <v>26</v>
      </c>
      <c r="C14" s="20"/>
      <c r="D14" s="21">
        <f>+D13/G13*100</f>
        <v>99.416548415676843</v>
      </c>
      <c r="E14" s="29">
        <f>+E13/G13*100</f>
        <v>0</v>
      </c>
      <c r="F14" s="29">
        <f>+F13/G13*100</f>
        <v>0.58345158432316013</v>
      </c>
      <c r="G14" s="191">
        <f t="shared" ref="G14" si="0">SUM(D14:F14)</f>
        <v>100</v>
      </c>
      <c r="H14" s="153"/>
      <c r="I14" s="23"/>
      <c r="J14" s="30">
        <f>+G13/C13*100</f>
        <v>99.327698625824581</v>
      </c>
      <c r="K14" s="534">
        <f>100-J14</f>
        <v>0.67230137417541869</v>
      </c>
      <c r="L14" s="534"/>
      <c r="M14" s="31">
        <v>75</v>
      </c>
      <c r="O14" s="28"/>
      <c r="P14" s="18">
        <f>+P13*2390</f>
        <v>973383412.8440367</v>
      </c>
    </row>
    <row r="15" spans="1:16" s="18" customFormat="1" ht="20.25" hidden="1" customHeight="1" x14ac:dyDescent="0.25">
      <c r="A15" s="530" t="s">
        <v>28</v>
      </c>
      <c r="B15" s="12" t="s">
        <v>21</v>
      </c>
      <c r="C15" s="191">
        <f>+C13-C11</f>
        <v>12673</v>
      </c>
      <c r="D15" s="13">
        <f>+D13-D11</f>
        <v>25570.524000000034</v>
      </c>
      <c r="E15" s="32">
        <f>+(E13-E11)</f>
        <v>-5791.2119999999995</v>
      </c>
      <c r="F15" s="14">
        <f>+F13-F11</f>
        <v>-4576.2119999999995</v>
      </c>
      <c r="G15" s="191">
        <f>SUM(D15:F15)</f>
        <v>15203.100000000035</v>
      </c>
      <c r="H15" s="153"/>
      <c r="I15" s="23"/>
      <c r="J15" s="13"/>
      <c r="K15" s="33"/>
      <c r="L15" s="33"/>
      <c r="M15" s="12"/>
      <c r="N15" s="34"/>
      <c r="P15" s="18">
        <f>+P14/418800</f>
        <v>2324.2201834862385</v>
      </c>
    </row>
    <row r="16" spans="1:16" s="18" customFormat="1" ht="18.75" hidden="1" customHeight="1" x14ac:dyDescent="0.25">
      <c r="A16" s="530"/>
      <c r="B16" s="12" t="s">
        <v>26</v>
      </c>
      <c r="C16" s="20"/>
      <c r="D16" s="35">
        <f>+D14-D12</f>
        <v>5.4165484156768429</v>
      </c>
      <c r="E16" s="36">
        <f>+E14-E12</f>
        <v>-3</v>
      </c>
      <c r="F16" s="37">
        <f>+F14-F12</f>
        <v>-2.4165484156768398</v>
      </c>
      <c r="G16" s="23">
        <v>0</v>
      </c>
      <c r="H16" s="153"/>
      <c r="I16" s="23"/>
      <c r="J16" s="12"/>
      <c r="K16" s="33"/>
      <c r="L16" s="33"/>
      <c r="M16" s="12"/>
      <c r="N16" s="34">
        <f>97.5+1.29</f>
        <v>98.79</v>
      </c>
    </row>
    <row r="17" spans="1:16" ht="16.5" customHeight="1" x14ac:dyDescent="0.25">
      <c r="A17" s="642" t="s">
        <v>169</v>
      </c>
      <c r="B17" s="25" t="s">
        <v>21</v>
      </c>
      <c r="C17" s="121">
        <f>+G17*100/J18</f>
        <v>424838.39999999997</v>
      </c>
      <c r="D17" s="117">
        <f>+G17*D18/100</f>
        <v>374707.46879999997</v>
      </c>
      <c r="E17" s="117">
        <f>+G17*E18/100</f>
        <v>29143.914239999998</v>
      </c>
      <c r="F17" s="117">
        <f>+G17*F18/100</f>
        <v>12490.248959999999</v>
      </c>
      <c r="G17" s="117">
        <f>+I17*H17</f>
        <v>416341.63199999998</v>
      </c>
      <c r="H17" s="184">
        <v>29</v>
      </c>
      <c r="I17" s="17">
        <f>10.9*0.96*1400*0.98</f>
        <v>14356.608</v>
      </c>
      <c r="J17" s="119"/>
      <c r="K17" s="600">
        <v>4395</v>
      </c>
      <c r="L17" s="602"/>
      <c r="M17" s="119"/>
    </row>
    <row r="18" spans="1:16" ht="16.5" customHeight="1" x14ac:dyDescent="0.25">
      <c r="A18" s="642"/>
      <c r="B18" s="25" t="s">
        <v>26</v>
      </c>
      <c r="C18" s="121"/>
      <c r="D18" s="21">
        <v>90</v>
      </c>
      <c r="E18" s="21">
        <v>7</v>
      </c>
      <c r="F18" s="21">
        <v>3</v>
      </c>
      <c r="G18" s="21">
        <v>100</v>
      </c>
      <c r="H18" s="122"/>
      <c r="I18" s="123"/>
      <c r="J18" s="184">
        <v>98</v>
      </c>
      <c r="K18" s="629">
        <f>100-J18</f>
        <v>2</v>
      </c>
      <c r="L18" s="629"/>
      <c r="M18" s="120">
        <v>40</v>
      </c>
    </row>
    <row r="19" spans="1:16" ht="16.5" customHeight="1" x14ac:dyDescent="0.25">
      <c r="A19" s="642" t="s">
        <v>25</v>
      </c>
      <c r="B19" s="25" t="s">
        <v>21</v>
      </c>
      <c r="C19" s="121">
        <f>+G19*100/J20</f>
        <v>7035</v>
      </c>
      <c r="D19" s="117">
        <f>+G19*D20/100</f>
        <v>6480.6420000000007</v>
      </c>
      <c r="E19" s="117">
        <f>+G19*E20/100</f>
        <v>206.82900000000001</v>
      </c>
      <c r="F19" s="117">
        <f>+G19*F20/100</f>
        <v>206.82900000000001</v>
      </c>
      <c r="G19" s="117">
        <f>+I19*H19</f>
        <v>6894.3</v>
      </c>
      <c r="H19" s="184">
        <v>0.5</v>
      </c>
      <c r="I19" s="17">
        <f>21*0.5*1340*0.98</f>
        <v>13788.6</v>
      </c>
      <c r="J19" s="119"/>
      <c r="K19" s="600">
        <v>4080</v>
      </c>
      <c r="L19" s="602"/>
      <c r="M19" s="119"/>
    </row>
    <row r="20" spans="1:16" ht="16.5" customHeight="1" x14ac:dyDescent="0.25">
      <c r="A20" s="642"/>
      <c r="B20" s="25" t="s">
        <v>26</v>
      </c>
      <c r="C20" s="121"/>
      <c r="D20" s="21">
        <v>94</v>
      </c>
      <c r="E20" s="21">
        <v>3</v>
      </c>
      <c r="F20" s="21">
        <v>3</v>
      </c>
      <c r="G20" s="21">
        <v>100</v>
      </c>
      <c r="H20" s="122"/>
      <c r="I20" s="123"/>
      <c r="J20" s="184">
        <v>98</v>
      </c>
      <c r="K20" s="629">
        <f>100-J20</f>
        <v>2</v>
      </c>
      <c r="L20" s="629"/>
      <c r="M20" s="120">
        <v>100</v>
      </c>
    </row>
    <row r="21" spans="1:16" s="18" customFormat="1" ht="18" customHeight="1" x14ac:dyDescent="0.25">
      <c r="A21" s="642" t="s">
        <v>302</v>
      </c>
      <c r="B21" s="12" t="s">
        <v>21</v>
      </c>
      <c r="C21" s="151">
        <v>435135</v>
      </c>
      <c r="D21" s="191">
        <v>408598.39999999997</v>
      </c>
      <c r="E21" s="152">
        <v>0</v>
      </c>
      <c r="F21" s="152">
        <v>22238.399999999998</v>
      </c>
      <c r="G21" s="191">
        <f>+F21+D21</f>
        <v>430836.8</v>
      </c>
      <c r="H21" s="153">
        <v>29</v>
      </c>
      <c r="I21" s="26">
        <f>G21/H21</f>
        <v>14856.441379310345</v>
      </c>
      <c r="J21" s="155"/>
      <c r="K21" s="152">
        <v>1907</v>
      </c>
      <c r="L21" s="156">
        <v>2030</v>
      </c>
      <c r="M21" s="12"/>
      <c r="N21" s="28"/>
      <c r="O21" s="19"/>
      <c r="P21" s="19"/>
    </row>
    <row r="22" spans="1:16" s="18" customFormat="1" ht="20.25" customHeight="1" x14ac:dyDescent="0.25">
      <c r="A22" s="642"/>
      <c r="B22" s="12" t="s">
        <v>26</v>
      </c>
      <c r="C22" s="20"/>
      <c r="D22" s="21">
        <f>+D21/G21*100</f>
        <v>94.838323931474747</v>
      </c>
      <c r="E22" s="29">
        <f>+E21/G21*100</f>
        <v>0</v>
      </c>
      <c r="F22" s="29">
        <f>+F21/G21*100</f>
        <v>5.1616760685252512</v>
      </c>
      <c r="G22" s="191">
        <f t="shared" ref="G22" si="1">SUM(D22:F22)</f>
        <v>100</v>
      </c>
      <c r="H22" s="22"/>
      <c r="I22" s="23"/>
      <c r="J22" s="30">
        <f>+G21/C21*100</f>
        <v>99.012214600066642</v>
      </c>
      <c r="K22" s="648">
        <f>100-J22</f>
        <v>0.98778539993335812</v>
      </c>
      <c r="L22" s="648"/>
      <c r="M22" s="31">
        <v>25</v>
      </c>
      <c r="O22" s="28"/>
    </row>
    <row r="23" spans="1:16" s="18" customFormat="1" ht="18.75" customHeight="1" x14ac:dyDescent="0.25">
      <c r="A23" s="642" t="s">
        <v>27</v>
      </c>
      <c r="B23" s="12" t="s">
        <v>21</v>
      </c>
      <c r="C23" s="151">
        <v>7270</v>
      </c>
      <c r="D23" s="191">
        <v>5472</v>
      </c>
      <c r="E23" s="152">
        <v>0</v>
      </c>
      <c r="F23" s="152">
        <v>199.5</v>
      </c>
      <c r="G23" s="191">
        <f>+F23+D23</f>
        <v>5671.5</v>
      </c>
      <c r="H23" s="151">
        <v>0.5</v>
      </c>
      <c r="I23" s="26">
        <f>G23/H23</f>
        <v>11343</v>
      </c>
      <c r="J23" s="155"/>
      <c r="K23" s="314">
        <v>26</v>
      </c>
      <c r="L23" s="156">
        <v>45</v>
      </c>
      <c r="M23" s="12"/>
      <c r="N23" s="28"/>
      <c r="O23" s="19"/>
      <c r="P23" s="19"/>
    </row>
    <row r="24" spans="1:16" s="18" customFormat="1" ht="20.25" customHeight="1" x14ac:dyDescent="0.25">
      <c r="A24" s="642"/>
      <c r="B24" s="12" t="s">
        <v>26</v>
      </c>
      <c r="C24" s="20"/>
      <c r="D24" s="21">
        <f>+D23/G23*100</f>
        <v>96.482412060301499</v>
      </c>
      <c r="E24" s="29">
        <f>+E23/G23*100</f>
        <v>0</v>
      </c>
      <c r="F24" s="29">
        <f>+F23/G23*100</f>
        <v>3.5175879396984926</v>
      </c>
      <c r="G24" s="191">
        <f t="shared" ref="G24" si="2">SUM(D24:F24)</f>
        <v>99.999999999999986</v>
      </c>
      <c r="H24" s="22"/>
      <c r="I24" s="23"/>
      <c r="J24" s="315">
        <f>+G23/C23*100</f>
        <v>78.012379642365886</v>
      </c>
      <c r="K24" s="534">
        <f>100-J24</f>
        <v>21.987620357634114</v>
      </c>
      <c r="L24" s="534"/>
      <c r="M24" s="31">
        <v>48</v>
      </c>
      <c r="O24" s="28"/>
    </row>
    <row r="25" spans="1:16" s="18" customFormat="1" ht="15.75" customHeight="1" x14ac:dyDescent="0.25">
      <c r="A25" s="642" t="s">
        <v>171</v>
      </c>
      <c r="B25" s="12" t="s">
        <v>21</v>
      </c>
      <c r="C25" s="191">
        <f>+C21-C17</f>
        <v>10296.600000000035</v>
      </c>
      <c r="D25" s="191">
        <f t="shared" ref="D25:F26" si="3">+D21-D17</f>
        <v>33890.931199999992</v>
      </c>
      <c r="E25" s="191">
        <f t="shared" si="3"/>
        <v>-29143.914239999998</v>
      </c>
      <c r="F25" s="191">
        <f t="shared" si="3"/>
        <v>9748.1510399999988</v>
      </c>
      <c r="G25" s="191">
        <f>+D25+F25</f>
        <v>43639.082239999989</v>
      </c>
      <c r="H25" s="22"/>
      <c r="I25" s="23"/>
      <c r="J25" s="13"/>
      <c r="K25" s="33"/>
      <c r="L25" s="33"/>
      <c r="M25" s="12"/>
      <c r="N25" s="34"/>
    </row>
    <row r="26" spans="1:16" s="18" customFormat="1" ht="15.75" customHeight="1" x14ac:dyDescent="0.25">
      <c r="A26" s="642"/>
      <c r="B26" s="12" t="s">
        <v>26</v>
      </c>
      <c r="C26" s="20"/>
      <c r="D26" s="35">
        <f>+D22-D18</f>
        <v>4.838323931474747</v>
      </c>
      <c r="E26" s="35">
        <f t="shared" si="3"/>
        <v>-7</v>
      </c>
      <c r="F26" s="35">
        <f t="shared" si="3"/>
        <v>2.1616760685252512</v>
      </c>
      <c r="G26" s="23"/>
      <c r="H26" s="22"/>
      <c r="I26" s="23"/>
      <c r="J26" s="12"/>
      <c r="K26" s="33"/>
      <c r="L26" s="33"/>
      <c r="M26" s="12"/>
      <c r="N26" s="34">
        <f>97.5+1.29</f>
        <v>98.79</v>
      </c>
    </row>
    <row r="27" spans="1:16" s="18" customFormat="1" ht="15.75" customHeight="1" x14ac:dyDescent="0.25">
      <c r="A27" s="642" t="s">
        <v>28</v>
      </c>
      <c r="B27" s="12" t="s">
        <v>21</v>
      </c>
      <c r="C27" s="191">
        <f>+C23-C17</f>
        <v>-417568.39999999997</v>
      </c>
      <c r="D27" s="191">
        <f t="shared" ref="D27:F27" si="4">+D23-D17</f>
        <v>-369235.46879999997</v>
      </c>
      <c r="E27" s="191">
        <f t="shared" si="4"/>
        <v>-29143.914239999998</v>
      </c>
      <c r="F27" s="191">
        <f t="shared" si="4"/>
        <v>-12290.748959999999</v>
      </c>
      <c r="G27" s="191">
        <f>+D27+F27</f>
        <v>-381526.21775999997</v>
      </c>
      <c r="H27" s="22"/>
      <c r="I27" s="23"/>
      <c r="J27" s="13"/>
      <c r="K27" s="33"/>
      <c r="L27" s="33"/>
      <c r="M27" s="12"/>
      <c r="N27" s="34"/>
    </row>
    <row r="28" spans="1:16" s="18" customFormat="1" ht="15.75" customHeight="1" x14ac:dyDescent="0.25">
      <c r="A28" s="642"/>
      <c r="B28" s="12" t="s">
        <v>26</v>
      </c>
      <c r="C28" s="20"/>
      <c r="D28" s="35">
        <f>+D24-D20</f>
        <v>2.482412060301499</v>
      </c>
      <c r="E28" s="35">
        <f t="shared" ref="E28:F28" si="5">+E24-E20</f>
        <v>-3</v>
      </c>
      <c r="F28" s="35">
        <f t="shared" si="5"/>
        <v>0.51758793969849259</v>
      </c>
      <c r="G28" s="23">
        <v>0</v>
      </c>
      <c r="H28" s="22"/>
      <c r="I28" s="23"/>
      <c r="J28" s="12"/>
      <c r="K28" s="33"/>
      <c r="L28" s="33"/>
      <c r="M28" s="12"/>
      <c r="N28" s="34">
        <f>97.5+1.29</f>
        <v>98.79</v>
      </c>
    </row>
    <row r="29" spans="1:16" ht="14.25" customHeight="1" x14ac:dyDescent="0.25">
      <c r="A29" s="1" t="s">
        <v>303</v>
      </c>
      <c r="B29" s="7"/>
      <c r="C29" s="7"/>
      <c r="D29" s="7"/>
      <c r="E29" s="7"/>
      <c r="F29" s="7"/>
      <c r="G29" s="7"/>
      <c r="J29" s="7"/>
      <c r="K29" s="7"/>
      <c r="L29" s="7"/>
      <c r="M29" s="7"/>
    </row>
    <row r="30" spans="1:16" ht="13.5" customHeight="1" x14ac:dyDescent="0.25">
      <c r="A30" s="1" t="s">
        <v>30</v>
      </c>
      <c r="B30" s="7"/>
      <c r="C30" s="7"/>
      <c r="D30" s="7"/>
      <c r="E30" s="7"/>
      <c r="F30" s="7"/>
      <c r="G30" s="7"/>
      <c r="J30" s="7"/>
      <c r="K30" s="7"/>
      <c r="L30" s="7"/>
      <c r="M30" s="7"/>
    </row>
    <row r="31" spans="1:16" ht="16.5" customHeight="1" x14ac:dyDescent="0.25">
      <c r="A31" s="2" t="s">
        <v>304</v>
      </c>
      <c r="B31" s="7"/>
      <c r="C31" s="7"/>
      <c r="D31" s="7"/>
      <c r="E31" s="7"/>
      <c r="F31" s="7"/>
      <c r="G31" s="7"/>
      <c r="J31" s="7"/>
      <c r="K31" s="7"/>
      <c r="L31" s="7"/>
      <c r="M31" s="7"/>
    </row>
    <row r="32" spans="1:16" s="38" customFormat="1" ht="14.25" customHeight="1" x14ac:dyDescent="0.25">
      <c r="A32" s="524" t="s">
        <v>32</v>
      </c>
      <c r="B32" s="542" t="s">
        <v>33</v>
      </c>
      <c r="C32" s="542"/>
      <c r="D32" s="542"/>
      <c r="E32" s="542"/>
      <c r="F32" s="542"/>
      <c r="G32" s="542"/>
      <c r="H32" s="542"/>
      <c r="I32" s="542"/>
      <c r="J32" s="543" t="s">
        <v>34</v>
      </c>
      <c r="K32" s="544"/>
      <c r="L32" s="524" t="s">
        <v>35</v>
      </c>
      <c r="M32" s="524"/>
      <c r="O32" s="316" t="s">
        <v>181</v>
      </c>
    </row>
    <row r="33" spans="1:13" s="38" customFormat="1" ht="12.75" customHeight="1" x14ac:dyDescent="0.25">
      <c r="A33" s="524"/>
      <c r="B33" s="528" t="s">
        <v>18</v>
      </c>
      <c r="C33" s="529"/>
      <c r="D33" s="528" t="s">
        <v>19</v>
      </c>
      <c r="E33" s="529"/>
      <c r="F33" s="528" t="s">
        <v>20</v>
      </c>
      <c r="G33" s="529"/>
      <c r="H33" s="528" t="s">
        <v>36</v>
      </c>
      <c r="I33" s="529"/>
      <c r="J33" s="545"/>
      <c r="K33" s="546"/>
      <c r="L33" s="524"/>
      <c r="M33" s="524"/>
    </row>
    <row r="34" spans="1:13" s="38" customFormat="1" ht="15.75" customHeight="1" x14ac:dyDescent="0.25">
      <c r="A34" s="637" t="s">
        <v>37</v>
      </c>
      <c r="B34" s="536">
        <v>117023.99999999997</v>
      </c>
      <c r="C34" s="537"/>
      <c r="D34" s="536"/>
      <c r="E34" s="537"/>
      <c r="F34" s="536">
        <v>9840.0000000000018</v>
      </c>
      <c r="G34" s="537"/>
      <c r="H34" s="538">
        <f>+B34+D34+F34</f>
        <v>126863.99999999997</v>
      </c>
      <c r="I34" s="539"/>
      <c r="J34" s="540"/>
      <c r="K34" s="541"/>
      <c r="L34" s="564"/>
      <c r="M34" s="565"/>
    </row>
    <row r="35" spans="1:13" s="38" customFormat="1" ht="15.75" customHeight="1" x14ac:dyDescent="0.25">
      <c r="A35" s="637"/>
      <c r="B35" s="550">
        <f>+B34/$H$34*100</f>
        <v>92.243662504729471</v>
      </c>
      <c r="C35" s="551" t="e">
        <f>+C34/C56*100</f>
        <v>#REF!</v>
      </c>
      <c r="D35" s="550">
        <f t="shared" ref="D35" si="6">+D34/$H$34*100</f>
        <v>0</v>
      </c>
      <c r="E35" s="551" t="e">
        <f>+E34/E56*100</f>
        <v>#REF!</v>
      </c>
      <c r="F35" s="550">
        <f t="shared" ref="F35" si="7">+F34/$H$34*100</f>
        <v>7.7563374952705297</v>
      </c>
      <c r="G35" s="551" t="e">
        <f>+G34/G56*100</f>
        <v>#REF!</v>
      </c>
      <c r="H35" s="550">
        <f>+H34/$H$34*100</f>
        <v>100</v>
      </c>
      <c r="I35" s="551" t="e">
        <f>+I34/I56*100</f>
        <v>#REF!</v>
      </c>
      <c r="J35" s="549">
        <f>+H34/$H$56*100</f>
        <v>29.445843267452481</v>
      </c>
      <c r="K35" s="541"/>
      <c r="L35" s="566"/>
      <c r="M35" s="567"/>
    </row>
    <row r="36" spans="1:13" s="38" customFormat="1" ht="15.75" customHeight="1" x14ac:dyDescent="0.25">
      <c r="A36" s="637" t="s">
        <v>38</v>
      </c>
      <c r="B36" s="536">
        <v>3388.8</v>
      </c>
      <c r="C36" s="537"/>
      <c r="D36" s="536"/>
      <c r="E36" s="537"/>
      <c r="F36" s="536">
        <v>179.2</v>
      </c>
      <c r="G36" s="537"/>
      <c r="H36" s="547">
        <f>+B36+D36+F36</f>
        <v>3568</v>
      </c>
      <c r="I36" s="548"/>
      <c r="J36" s="549"/>
      <c r="K36" s="541"/>
      <c r="L36" s="566"/>
      <c r="M36" s="567"/>
    </row>
    <row r="37" spans="1:13" s="38" customFormat="1" ht="15.75" customHeight="1" x14ac:dyDescent="0.25">
      <c r="A37" s="637"/>
      <c r="B37" s="550">
        <f>+B36/$H$36*100</f>
        <v>94.97757847533633</v>
      </c>
      <c r="C37" s="551" t="e">
        <f>+C36/C42*100</f>
        <v>#DIV/0!</v>
      </c>
      <c r="D37" s="550">
        <f t="shared" ref="D37" si="8">+D36/$H$36*100</f>
        <v>0</v>
      </c>
      <c r="E37" s="551" t="e">
        <f>+E36/E42*100</f>
        <v>#DIV/0!</v>
      </c>
      <c r="F37" s="550">
        <f t="shared" ref="F37" si="9">+F36/$H$36*100</f>
        <v>5.0224215246636765</v>
      </c>
      <c r="G37" s="551" t="e">
        <f>+G36/G42*100</f>
        <v>#DIV/0!</v>
      </c>
      <c r="H37" s="550">
        <f t="shared" ref="H37" si="10">+H36/$H$36*100</f>
        <v>100</v>
      </c>
      <c r="I37" s="551" t="e">
        <f>+I36/I42*100</f>
        <v>#DIV/0!</v>
      </c>
      <c r="J37" s="549">
        <f>+H36/$H$56*100</f>
        <v>0.82815273661772038</v>
      </c>
      <c r="K37" s="541"/>
      <c r="L37" s="566"/>
      <c r="M37" s="567"/>
    </row>
    <row r="38" spans="1:13" s="38" customFormat="1" ht="16.5" customHeight="1" x14ac:dyDescent="0.25">
      <c r="A38" s="637" t="s">
        <v>173</v>
      </c>
      <c r="B38" s="536">
        <v>11126.4</v>
      </c>
      <c r="C38" s="537"/>
      <c r="D38" s="536"/>
      <c r="E38" s="537"/>
      <c r="F38" s="536">
        <v>785.6</v>
      </c>
      <c r="G38" s="537"/>
      <c r="H38" s="547">
        <f>+B38+D38+F38</f>
        <v>11912</v>
      </c>
      <c r="I38" s="548"/>
      <c r="J38" s="549"/>
      <c r="K38" s="541"/>
      <c r="L38" s="566"/>
      <c r="M38" s="567"/>
    </row>
    <row r="39" spans="1:13" s="38" customFormat="1" ht="16.5" customHeight="1" x14ac:dyDescent="0.25">
      <c r="A39" s="637"/>
      <c r="B39" s="550">
        <f>+B38/$H$38*100</f>
        <v>93.404969778374749</v>
      </c>
      <c r="C39" s="551" t="e">
        <f>+C38/C44*100</f>
        <v>#DIV/0!</v>
      </c>
      <c r="D39" s="550">
        <f t="shared" ref="D39" si="11">+D38/$H$38*100</f>
        <v>0</v>
      </c>
      <c r="E39" s="551" t="e">
        <f t="shared" ref="E39" si="12">+E38/E44*100</f>
        <v>#DIV/0!</v>
      </c>
      <c r="F39" s="550">
        <f t="shared" ref="F39" si="13">+F38/$H$38*100</f>
        <v>6.5950302216252519</v>
      </c>
      <c r="G39" s="551" t="e">
        <f t="shared" ref="G39" si="14">+G38/G44*100</f>
        <v>#DIV/0!</v>
      </c>
      <c r="H39" s="550">
        <f>+H38/H38*100</f>
        <v>100</v>
      </c>
      <c r="I39" s="551" t="e">
        <f>+I38/#REF!*100</f>
        <v>#REF!</v>
      </c>
      <c r="J39" s="549">
        <f>+H38/$H$56*100</f>
        <v>2.7648417596945869</v>
      </c>
      <c r="K39" s="541"/>
      <c r="L39" s="566"/>
      <c r="M39" s="567"/>
    </row>
    <row r="40" spans="1:13" s="38" customFormat="1" ht="15" customHeight="1" x14ac:dyDescent="0.25">
      <c r="A40" s="644" t="s">
        <v>40</v>
      </c>
      <c r="B40" s="536">
        <v>23640</v>
      </c>
      <c r="C40" s="537"/>
      <c r="D40" s="536"/>
      <c r="E40" s="537"/>
      <c r="F40" s="536">
        <v>1057.6000000000001</v>
      </c>
      <c r="G40" s="537"/>
      <c r="H40" s="547">
        <f>+B40+D40+F40</f>
        <v>24697.599999999999</v>
      </c>
      <c r="I40" s="548"/>
      <c r="J40" s="549"/>
      <c r="K40" s="541"/>
      <c r="L40" s="566"/>
      <c r="M40" s="567"/>
    </row>
    <row r="41" spans="1:13" s="38" customFormat="1" ht="15" customHeight="1" x14ac:dyDescent="0.25">
      <c r="A41" s="645"/>
      <c r="B41" s="554">
        <f>+B40/$H$40*100</f>
        <v>95.717802539518019</v>
      </c>
      <c r="C41" s="555" t="e">
        <f>+C40/#REF!*100</f>
        <v>#REF!</v>
      </c>
      <c r="D41" s="554">
        <f t="shared" ref="D41" si="15">+D40/$H$40*100</f>
        <v>0</v>
      </c>
      <c r="E41" s="555" t="e">
        <f>+E40/#REF!*100</f>
        <v>#REF!</v>
      </c>
      <c r="F41" s="554">
        <f t="shared" ref="F41" si="16">+F40/$H$40*100</f>
        <v>4.2821974604819912</v>
      </c>
      <c r="G41" s="555" t="e">
        <f>+G40/#REF!*100</f>
        <v>#REF!</v>
      </c>
      <c r="H41" s="554">
        <f t="shared" ref="H41" si="17">+H40/$H$40*100</f>
        <v>100</v>
      </c>
      <c r="I41" s="555" t="e">
        <f>+I40/#REF!*100</f>
        <v>#REF!</v>
      </c>
      <c r="J41" s="549">
        <f t="shared" ref="J41:J55" si="18">+H40/$H$56*100</f>
        <v>5.7324509607314491</v>
      </c>
      <c r="K41" s="541"/>
      <c r="L41" s="566"/>
      <c r="M41" s="567"/>
    </row>
    <row r="42" spans="1:13" s="38" customFormat="1" ht="15.75" customHeight="1" x14ac:dyDescent="0.25">
      <c r="A42" s="649" t="s">
        <v>39</v>
      </c>
      <c r="B42" s="536">
        <v>35075.199999999997</v>
      </c>
      <c r="C42" s="537"/>
      <c r="D42" s="536"/>
      <c r="E42" s="537"/>
      <c r="F42" s="536">
        <v>1182.4000000000001</v>
      </c>
      <c r="G42" s="537"/>
      <c r="H42" s="547">
        <f>+B42+D42+F42</f>
        <v>36257.599999999999</v>
      </c>
      <c r="I42" s="548"/>
      <c r="J42" s="549"/>
      <c r="K42" s="541"/>
      <c r="L42" s="566"/>
      <c r="M42" s="567"/>
    </row>
    <row r="43" spans="1:13" s="38" customFormat="1" ht="16.5" customHeight="1" x14ac:dyDescent="0.25">
      <c r="A43" s="650"/>
      <c r="B43" s="550">
        <f>+B42/$H$42*100</f>
        <v>96.738890605004187</v>
      </c>
      <c r="C43" s="551" t="e">
        <f>+C42/C56*100</f>
        <v>#REF!</v>
      </c>
      <c r="D43" s="550">
        <f t="shared" ref="D43" si="19">+D42/$H$42*100</f>
        <v>0</v>
      </c>
      <c r="E43" s="551" t="e">
        <f>+E42/E56*100</f>
        <v>#REF!</v>
      </c>
      <c r="F43" s="550">
        <f t="shared" ref="F43" si="20">+F42/$H$42*100</f>
        <v>3.2611093949958079</v>
      </c>
      <c r="G43" s="551" t="e">
        <f>+G42/G56*100</f>
        <v>#REF!</v>
      </c>
      <c r="H43" s="550">
        <f t="shared" ref="H43" si="21">+H42/$H$42*100</f>
        <v>100</v>
      </c>
      <c r="I43" s="551" t="e">
        <f>+I42/I56*100</f>
        <v>#REF!</v>
      </c>
      <c r="J43" s="549">
        <f t="shared" si="18"/>
        <v>8.4155915535848251</v>
      </c>
      <c r="K43" s="541"/>
      <c r="L43" s="566"/>
      <c r="M43" s="567"/>
    </row>
    <row r="44" spans="1:13" s="38" customFormat="1" ht="16.5" customHeight="1" x14ac:dyDescent="0.25">
      <c r="A44" s="637" t="s">
        <v>117</v>
      </c>
      <c r="B44" s="536">
        <v>90823.999999999971</v>
      </c>
      <c r="C44" s="537"/>
      <c r="D44" s="536"/>
      <c r="E44" s="537"/>
      <c r="F44" s="536">
        <v>4496.0000000000009</v>
      </c>
      <c r="G44" s="537"/>
      <c r="H44" s="547">
        <f>+B44+D44+F44</f>
        <v>95319.999999999971</v>
      </c>
      <c r="I44" s="548"/>
      <c r="J44" s="549"/>
      <c r="K44" s="541"/>
      <c r="L44" s="566"/>
      <c r="M44" s="567"/>
    </row>
    <row r="45" spans="1:13" s="38" customFormat="1" ht="16.5" customHeight="1" x14ac:dyDescent="0.25">
      <c r="A45" s="637"/>
      <c r="B45" s="554">
        <f>+B44/$H$44*100</f>
        <v>95.283256399496423</v>
      </c>
      <c r="C45" s="555" t="e">
        <f>+C44/C46*100</f>
        <v>#DIV/0!</v>
      </c>
      <c r="D45" s="554">
        <f t="shared" ref="D45" si="22">+D44/$H$44*100</f>
        <v>0</v>
      </c>
      <c r="E45" s="555" t="e">
        <f t="shared" ref="E45" si="23">+E44/E46*100</f>
        <v>#DIV/0!</v>
      </c>
      <c r="F45" s="554">
        <f t="shared" ref="F45" si="24">+F44/$H$44*100</f>
        <v>4.7167436005035697</v>
      </c>
      <c r="G45" s="555" t="e">
        <f t="shared" ref="G45" si="25">+G44/G46*100</f>
        <v>#DIV/0!</v>
      </c>
      <c r="H45" s="554">
        <f>+H44/$H$44*100</f>
        <v>100</v>
      </c>
      <c r="I45" s="555" t="e">
        <f t="shared" ref="I45" si="26">+I44/I46*100</f>
        <v>#DIV/0!</v>
      </c>
      <c r="J45" s="549">
        <f t="shared" si="18"/>
        <v>22.124304611659497</v>
      </c>
      <c r="K45" s="541"/>
      <c r="L45" s="566"/>
      <c r="M45" s="567"/>
    </row>
    <row r="46" spans="1:13" s="38" customFormat="1" ht="16.5" customHeight="1" x14ac:dyDescent="0.25">
      <c r="A46" s="637" t="s">
        <v>216</v>
      </c>
      <c r="B46" s="536">
        <v>21702.400000000001</v>
      </c>
      <c r="C46" s="537"/>
      <c r="D46" s="536"/>
      <c r="E46" s="537"/>
      <c r="F46" s="536">
        <v>1161.5999999999999</v>
      </c>
      <c r="G46" s="537"/>
      <c r="H46" s="547">
        <f>+B46+D46+F46</f>
        <v>22864</v>
      </c>
      <c r="I46" s="548"/>
      <c r="J46" s="549"/>
      <c r="K46" s="541"/>
      <c r="L46" s="566"/>
      <c r="M46" s="567"/>
    </row>
    <row r="47" spans="1:13" s="38" customFormat="1" ht="16.5" customHeight="1" x14ac:dyDescent="0.25">
      <c r="A47" s="637"/>
      <c r="B47" s="550">
        <f>+B46/$H$42*100</f>
        <v>59.85614050571467</v>
      </c>
      <c r="C47" s="551" t="e">
        <f>+C46/#REF!*100</f>
        <v>#REF!</v>
      </c>
      <c r="D47" s="550">
        <f t="shared" ref="D47" si="27">+D46/$H$42*100</f>
        <v>0</v>
      </c>
      <c r="E47" s="551" t="e">
        <f>+E46/#REF!*100</f>
        <v>#REF!</v>
      </c>
      <c r="F47" s="550">
        <f t="shared" ref="F47" si="28">+F46/$H$42*100</f>
        <v>3.2037421119985878</v>
      </c>
      <c r="G47" s="551" t="e">
        <f>+G46/#REF!*100</f>
        <v>#REF!</v>
      </c>
      <c r="H47" s="550">
        <f>+H46/$H$46*100</f>
        <v>100</v>
      </c>
      <c r="I47" s="551" t="e">
        <f>+I46/#REF!*100</f>
        <v>#REF!</v>
      </c>
      <c r="J47" s="549">
        <f t="shared" si="18"/>
        <v>5.3068621552767823</v>
      </c>
      <c r="K47" s="541"/>
      <c r="L47" s="566"/>
      <c r="M47" s="567"/>
    </row>
    <row r="48" spans="1:13" s="38" customFormat="1" ht="16.5" customHeight="1" x14ac:dyDescent="0.25">
      <c r="A48" s="637" t="s">
        <v>42</v>
      </c>
      <c r="B48" s="536">
        <v>39804.799999999996</v>
      </c>
      <c r="C48" s="537"/>
      <c r="D48" s="536"/>
      <c r="E48" s="537"/>
      <c r="F48" s="536">
        <v>1792.0000000000002</v>
      </c>
      <c r="G48" s="537"/>
      <c r="H48" s="547">
        <f>+B48+D48+F48</f>
        <v>41596.799999999996</v>
      </c>
      <c r="I48" s="548"/>
      <c r="J48" s="549"/>
      <c r="K48" s="541"/>
      <c r="L48" s="566"/>
      <c r="M48" s="567"/>
    </row>
    <row r="49" spans="1:15" s="38" customFormat="1" ht="16.5" customHeight="1" x14ac:dyDescent="0.25">
      <c r="A49" s="637"/>
      <c r="B49" s="554">
        <f>+B48/$H$48*100</f>
        <v>95.691976305869687</v>
      </c>
      <c r="C49" s="555" t="e">
        <f>+C48/C56*100</f>
        <v>#REF!</v>
      </c>
      <c r="D49" s="554">
        <f t="shared" ref="D49" si="29">+D48/$H$48*100</f>
        <v>0</v>
      </c>
      <c r="E49" s="555" t="e">
        <f t="shared" ref="E49" si="30">+E48/E56*100</f>
        <v>#REF!</v>
      </c>
      <c r="F49" s="554">
        <f t="shared" ref="F49" si="31">+F48/$H$48*100</f>
        <v>4.3080236941303189</v>
      </c>
      <c r="G49" s="555" t="e">
        <f t="shared" ref="G49" si="32">+G48/G56*100</f>
        <v>#REF!</v>
      </c>
      <c r="H49" s="550">
        <f>+H48/H48*100</f>
        <v>100</v>
      </c>
      <c r="I49" s="551" t="e">
        <f>+I48/#REF!*100</f>
        <v>#REF!</v>
      </c>
      <c r="J49" s="549">
        <f t="shared" si="18"/>
        <v>9.6548497069899071</v>
      </c>
      <c r="K49" s="541"/>
      <c r="L49" s="566"/>
      <c r="M49" s="567"/>
    </row>
    <row r="50" spans="1:15" s="38" customFormat="1" ht="16.5" customHeight="1" x14ac:dyDescent="0.25">
      <c r="A50" s="644" t="s">
        <v>178</v>
      </c>
      <c r="B50" s="536">
        <v>37968</v>
      </c>
      <c r="C50" s="537"/>
      <c r="D50" s="536"/>
      <c r="E50" s="537"/>
      <c r="F50" s="536"/>
      <c r="G50" s="537"/>
      <c r="H50" s="547">
        <f>+B50+D50+F50</f>
        <v>37968</v>
      </c>
      <c r="I50" s="548"/>
      <c r="J50" s="549"/>
      <c r="K50" s="541"/>
      <c r="L50" s="566"/>
      <c r="M50" s="567"/>
    </row>
    <row r="51" spans="1:15" s="38" customFormat="1" ht="16.5" customHeight="1" x14ac:dyDescent="0.25">
      <c r="A51" s="645"/>
      <c r="B51" s="554">
        <f>+B50/H50*100</f>
        <v>100</v>
      </c>
      <c r="C51" s="555" t="e">
        <f>+C50/C56*100</f>
        <v>#REF!</v>
      </c>
      <c r="D51" s="554">
        <f t="shared" ref="D51" si="33">+D50/$H$40*100</f>
        <v>0</v>
      </c>
      <c r="E51" s="555" t="e">
        <f t="shared" ref="E51" si="34">+E50/E56*100</f>
        <v>#REF!</v>
      </c>
      <c r="F51" s="554">
        <f t="shared" ref="F51" si="35">+F50/$H$40*100</f>
        <v>0</v>
      </c>
      <c r="G51" s="555" t="e">
        <f t="shared" ref="G51" si="36">+G50/G56*100</f>
        <v>#REF!</v>
      </c>
      <c r="H51" s="550">
        <f>+H50/H50*100</f>
        <v>100</v>
      </c>
      <c r="I51" s="551" t="e">
        <f>+I50/I77*100</f>
        <v>#REF!</v>
      </c>
      <c r="J51" s="549">
        <f t="shared" si="18"/>
        <v>8.8125849506450695</v>
      </c>
      <c r="K51" s="541"/>
      <c r="L51" s="566"/>
      <c r="M51" s="567"/>
    </row>
    <row r="52" spans="1:15" s="38" customFormat="1" ht="16.5" customHeight="1" x14ac:dyDescent="0.25">
      <c r="A52" s="637" t="s">
        <v>218</v>
      </c>
      <c r="B52" s="536">
        <v>7086.4000000000005</v>
      </c>
      <c r="C52" s="537"/>
      <c r="D52" s="536"/>
      <c r="E52" s="537"/>
      <c r="F52" s="536">
        <v>635.20000000000005</v>
      </c>
      <c r="G52" s="537"/>
      <c r="H52" s="547">
        <f>+B52+D52+F52</f>
        <v>7721.6</v>
      </c>
      <c r="I52" s="548"/>
      <c r="J52" s="549"/>
      <c r="K52" s="541"/>
      <c r="L52" s="566"/>
      <c r="M52" s="567"/>
    </row>
    <row r="53" spans="1:15" s="38" customFormat="1" ht="16.5" customHeight="1" x14ac:dyDescent="0.25">
      <c r="A53" s="637"/>
      <c r="B53" s="554">
        <f>+B52/$H$52*100</f>
        <v>91.773725652714461</v>
      </c>
      <c r="C53" s="555" t="e">
        <f>+C52/C56*100</f>
        <v>#REF!</v>
      </c>
      <c r="D53" s="554">
        <f t="shared" ref="D53" si="37">+D52/$H$52*100</f>
        <v>0</v>
      </c>
      <c r="E53" s="555" t="e">
        <f t="shared" ref="E53" si="38">+E52/E56*100</f>
        <v>#REF!</v>
      </c>
      <c r="F53" s="554">
        <f t="shared" ref="F53" si="39">+F52/$H$52*100</f>
        <v>8.2262743472855373</v>
      </c>
      <c r="G53" s="555" t="e">
        <f t="shared" ref="G53" si="40">+G52/G56*100</f>
        <v>#REF!</v>
      </c>
      <c r="H53" s="550">
        <f>+H52/H52*100</f>
        <v>100</v>
      </c>
      <c r="I53" s="551" t="e">
        <f>+I52/#REF!*100</f>
        <v>#REF!</v>
      </c>
      <c r="J53" s="549">
        <f t="shared" si="18"/>
        <v>1.7922265053439994</v>
      </c>
      <c r="K53" s="541"/>
      <c r="L53" s="566"/>
      <c r="M53" s="567"/>
    </row>
    <row r="54" spans="1:15" s="38" customFormat="1" ht="16.5" customHeight="1" x14ac:dyDescent="0.25">
      <c r="A54" s="637" t="s">
        <v>305</v>
      </c>
      <c r="B54" s="536">
        <v>20959.999999999996</v>
      </c>
      <c r="C54" s="537"/>
      <c r="D54" s="536"/>
      <c r="E54" s="537"/>
      <c r="F54" s="536">
        <v>1108.7999999999997</v>
      </c>
      <c r="G54" s="537"/>
      <c r="H54" s="547">
        <f>+B54+D54+F54</f>
        <v>22068.799999999996</v>
      </c>
      <c r="I54" s="548"/>
      <c r="J54" s="549"/>
      <c r="K54" s="541"/>
      <c r="L54" s="566"/>
      <c r="M54" s="567"/>
    </row>
    <row r="55" spans="1:15" s="38" customFormat="1" ht="16.5" customHeight="1" x14ac:dyDescent="0.25">
      <c r="A55" s="637"/>
      <c r="B55" s="554">
        <f>+B54/$H$54*100</f>
        <v>94.97571231784238</v>
      </c>
      <c r="C55" s="555" t="e">
        <f>+C54/C71*100</f>
        <v>#DIV/0!</v>
      </c>
      <c r="D55" s="554">
        <f t="shared" ref="D55" si="41">+D54/$H$54*100</f>
        <v>0</v>
      </c>
      <c r="E55" s="555" t="e">
        <f t="shared" ref="E55" si="42">+E54/E71*100</f>
        <v>#DIV/0!</v>
      </c>
      <c r="F55" s="554">
        <f t="shared" ref="F55" si="43">+F54/$H$54*100</f>
        <v>5.0242876821576159</v>
      </c>
      <c r="G55" s="555" t="e">
        <f t="shared" ref="G55" si="44">+G54/G71*100</f>
        <v>#DIV/0!</v>
      </c>
      <c r="H55" s="550">
        <f>+H54/H54*100</f>
        <v>100</v>
      </c>
      <c r="I55" s="551" t="e">
        <f>+I54/#REF!*100</f>
        <v>#REF!</v>
      </c>
      <c r="J55" s="549">
        <f t="shared" si="18"/>
        <v>5.1222917920036837</v>
      </c>
      <c r="K55" s="541"/>
      <c r="L55" s="566"/>
      <c r="M55" s="567"/>
    </row>
    <row r="56" spans="1:15" s="38" customFormat="1" ht="16.5" customHeight="1" x14ac:dyDescent="0.25">
      <c r="A56" s="524" t="s">
        <v>43</v>
      </c>
      <c r="B56" s="556">
        <f>+B54+B52+B50+B48+B46+B44+B42+B40+B38+B36+B34</f>
        <v>408599.99999999988</v>
      </c>
      <c r="C56" s="529" t="e">
        <f>+#REF!+#REF!+#REF!+#REF!+#REF!+C42+C34</f>
        <v>#REF!</v>
      </c>
      <c r="D56" s="556">
        <f t="shared" ref="D56" si="45">+D54+D52+D50+D48+D46+D44+D42+D40+D38+D36+D34</f>
        <v>0</v>
      </c>
      <c r="E56" s="529" t="e">
        <f>+#REF!+#REF!+#REF!+#REF!+#REF!+E42+E34</f>
        <v>#REF!</v>
      </c>
      <c r="F56" s="556">
        <f>+F54+F52+F50+F48+F46+F44+F42+F40+F38+F36+F34</f>
        <v>22238.400000000005</v>
      </c>
      <c r="G56" s="529" t="e">
        <f>+#REF!+#REF!+#REF!+#REF!+#REF!+G42+G34</f>
        <v>#REF!</v>
      </c>
      <c r="H56" s="556">
        <f>+B56+F56</f>
        <v>430838.39999999991</v>
      </c>
      <c r="I56" s="529" t="e">
        <f>+#REF!+#REF!+#REF!+#REF!+#REF!+I42+I34</f>
        <v>#REF!</v>
      </c>
      <c r="J56" s="549"/>
      <c r="K56" s="541"/>
      <c r="L56" s="566"/>
      <c r="M56" s="567"/>
    </row>
    <row r="57" spans="1:15" s="38" customFormat="1" ht="16.5" customHeight="1" x14ac:dyDescent="0.25">
      <c r="A57" s="524"/>
      <c r="B57" s="550">
        <f>+B56/$H$56*100</f>
        <v>94.838343100336459</v>
      </c>
      <c r="C57" s="551" t="e">
        <f>+C35+C43+#REF!+#REF!+#REF!+#REF!</f>
        <v>#REF!</v>
      </c>
      <c r="D57" s="550">
        <f t="shared" ref="D57" si="46">+D56/$H$56*100</f>
        <v>0</v>
      </c>
      <c r="E57" s="551" t="e">
        <f>+E35+E43+#REF!+#REF!+#REF!+#REF!</f>
        <v>#REF!</v>
      </c>
      <c r="F57" s="550">
        <f t="shared" ref="F57" si="47">+F56/$H$56*100</f>
        <v>5.1616568996635426</v>
      </c>
      <c r="G57" s="551" t="e">
        <f>+G35+G43+#REF!+#REF!+#REF!+#REF!</f>
        <v>#REF!</v>
      </c>
      <c r="H57" s="550">
        <f>+H56/$H$56*100</f>
        <v>100</v>
      </c>
      <c r="I57" s="551" t="e">
        <f>+I35+I43+#REF!+#REF!+#REF!+#REF!</f>
        <v>#REF!</v>
      </c>
      <c r="J57" s="549">
        <f>+H56/$H$56*100</f>
        <v>100</v>
      </c>
      <c r="K57" s="541"/>
      <c r="L57" s="568"/>
      <c r="M57" s="569"/>
    </row>
    <row r="58" spans="1:15" ht="16.5" customHeight="1" x14ac:dyDescent="0.25">
      <c r="A58" s="2" t="s">
        <v>306</v>
      </c>
      <c r="B58" s="7"/>
      <c r="C58" s="7"/>
      <c r="D58" s="7"/>
      <c r="E58" s="7"/>
      <c r="F58" s="7"/>
      <c r="G58" s="7"/>
      <c r="J58" s="7"/>
      <c r="K58" s="7"/>
      <c r="L58" s="7"/>
      <c r="M58" s="7"/>
    </row>
    <row r="59" spans="1:15" s="38" customFormat="1" ht="14.25" customHeight="1" x14ac:dyDescent="0.25">
      <c r="A59" s="524" t="s">
        <v>32</v>
      </c>
      <c r="B59" s="542" t="s">
        <v>33</v>
      </c>
      <c r="C59" s="542"/>
      <c r="D59" s="542"/>
      <c r="E59" s="542"/>
      <c r="F59" s="542"/>
      <c r="G59" s="542"/>
      <c r="H59" s="542"/>
      <c r="I59" s="542"/>
      <c r="J59" s="543" t="s">
        <v>34</v>
      </c>
      <c r="K59" s="544"/>
      <c r="L59" s="524" t="s">
        <v>35</v>
      </c>
      <c r="M59" s="524"/>
      <c r="O59" s="316" t="s">
        <v>181</v>
      </c>
    </row>
    <row r="60" spans="1:15" s="38" customFormat="1" ht="12.75" customHeight="1" x14ac:dyDescent="0.25">
      <c r="A60" s="524"/>
      <c r="B60" s="528" t="s">
        <v>18</v>
      </c>
      <c r="C60" s="529"/>
      <c r="D60" s="528" t="s">
        <v>19</v>
      </c>
      <c r="E60" s="529"/>
      <c r="F60" s="528" t="s">
        <v>20</v>
      </c>
      <c r="G60" s="529"/>
      <c r="H60" s="528" t="s">
        <v>36</v>
      </c>
      <c r="I60" s="529"/>
      <c r="J60" s="545"/>
      <c r="K60" s="546"/>
      <c r="L60" s="524"/>
      <c r="M60" s="524"/>
    </row>
    <row r="61" spans="1:15" s="38" customFormat="1" ht="15.75" customHeight="1" x14ac:dyDescent="0.25">
      <c r="A61" s="530" t="s">
        <v>37</v>
      </c>
      <c r="B61" s="536">
        <v>24246.400000000001</v>
      </c>
      <c r="C61" s="537"/>
      <c r="D61" s="536"/>
      <c r="E61" s="537"/>
      <c r="F61" s="536">
        <v>505.59999999999991</v>
      </c>
      <c r="G61" s="537"/>
      <c r="H61" s="538">
        <f>+B61+D61+F61</f>
        <v>24752</v>
      </c>
      <c r="I61" s="539"/>
      <c r="J61" s="540"/>
      <c r="K61" s="541"/>
      <c r="L61" s="564"/>
      <c r="M61" s="565"/>
    </row>
    <row r="62" spans="1:15" s="38" customFormat="1" ht="15.75" customHeight="1" x14ac:dyDescent="0.25">
      <c r="A62" s="530"/>
      <c r="B62" s="550">
        <f>+B61/$H$61*100</f>
        <v>97.9573367808662</v>
      </c>
      <c r="C62" s="551" t="e">
        <f>+C61/C83*100</f>
        <v>#DIV/0!</v>
      </c>
      <c r="D62" s="550">
        <f t="shared" ref="D62" si="48">+D61/$H$61*100</f>
        <v>0</v>
      </c>
      <c r="E62" s="551" t="e">
        <f t="shared" ref="E62" si="49">+E61/E83*100</f>
        <v>#VALUE!</v>
      </c>
      <c r="F62" s="550">
        <f t="shared" ref="F62" si="50">+F61/$H$61*100</f>
        <v>2.0426632191338072</v>
      </c>
      <c r="G62" s="551" t="e">
        <f t="shared" ref="G62" si="51">+G61/G83*100</f>
        <v>#VALUE!</v>
      </c>
      <c r="H62" s="550">
        <f t="shared" ref="H62" si="52">+H61/$H$61*100</f>
        <v>100</v>
      </c>
      <c r="I62" s="551" t="e">
        <f t="shared" ref="I62" si="53">+I61/I83*100</f>
        <v>#VALUE!</v>
      </c>
      <c r="J62" s="550">
        <f>+H61/$H$69*100</f>
        <v>32.173533265395257</v>
      </c>
      <c r="K62" s="551" t="e">
        <f t="shared" ref="K62" si="54">+K61/K83*100</f>
        <v>#VALUE!</v>
      </c>
      <c r="L62" s="566"/>
      <c r="M62" s="567"/>
    </row>
    <row r="63" spans="1:15" s="38" customFormat="1" ht="15.75" customHeight="1" x14ac:dyDescent="0.25">
      <c r="A63" s="651" t="s">
        <v>39</v>
      </c>
      <c r="B63" s="536">
        <v>16392</v>
      </c>
      <c r="C63" s="537"/>
      <c r="D63" s="536"/>
      <c r="E63" s="537"/>
      <c r="F63" s="536">
        <v>185.60000000000002</v>
      </c>
      <c r="G63" s="537"/>
      <c r="H63" s="547">
        <f>+B63+D63+F63</f>
        <v>16577.599999999999</v>
      </c>
      <c r="I63" s="548"/>
      <c r="J63" s="550"/>
      <c r="K63" s="551"/>
      <c r="L63" s="566"/>
      <c r="M63" s="567"/>
    </row>
    <row r="64" spans="1:15" s="38" customFormat="1" ht="15.75" customHeight="1" x14ac:dyDescent="0.25">
      <c r="A64" s="652"/>
      <c r="B64" s="653">
        <f>+B63/$H$63*100</f>
        <v>98.880416948171032</v>
      </c>
      <c r="C64" s="654" t="e">
        <f>+C63/C69*100</f>
        <v>#DIV/0!</v>
      </c>
      <c r="D64" s="653"/>
      <c r="E64" s="654"/>
      <c r="F64" s="653">
        <f t="shared" ref="F64" si="55">+F63/$H$63*100</f>
        <v>1.1195830518289742</v>
      </c>
      <c r="G64" s="654" t="e">
        <f t="shared" ref="G64" si="56">+G63/G69*100</f>
        <v>#DIV/0!</v>
      </c>
      <c r="H64" s="653">
        <f t="shared" ref="H64" si="57">+H63/$H$63*100</f>
        <v>100</v>
      </c>
      <c r="I64" s="654" t="e">
        <f t="shared" ref="I64" si="58">+I63/I69*100</f>
        <v>#DIV/0!</v>
      </c>
      <c r="J64" s="550">
        <f t="shared" ref="J64:J70" si="59">+H63/$H$69*100</f>
        <v>21.548156313042028</v>
      </c>
      <c r="K64" s="551" t="e">
        <f t="shared" ref="K64:K70" si="60">+K63/K85*100</f>
        <v>#DIV/0!</v>
      </c>
      <c r="L64" s="566"/>
      <c r="M64" s="567"/>
    </row>
    <row r="65" spans="1:15" s="38" customFormat="1" ht="16.5" customHeight="1" x14ac:dyDescent="0.25">
      <c r="A65" s="655" t="s">
        <v>40</v>
      </c>
      <c r="B65" s="536">
        <v>6236.8</v>
      </c>
      <c r="C65" s="537"/>
      <c r="D65" s="536"/>
      <c r="E65" s="537"/>
      <c r="F65" s="536">
        <v>91.2</v>
      </c>
      <c r="G65" s="537"/>
      <c r="H65" s="547">
        <f>+B65+D65+F65</f>
        <v>6328</v>
      </c>
      <c r="I65" s="548"/>
      <c r="J65" s="550"/>
      <c r="K65" s="551"/>
      <c r="L65" s="566"/>
      <c r="M65" s="567"/>
    </row>
    <row r="66" spans="1:15" s="38" customFormat="1" ht="16.5" customHeight="1" x14ac:dyDescent="0.25">
      <c r="A66" s="656"/>
      <c r="B66" s="550">
        <f>+B65/$H$65*100</f>
        <v>98.558786346396971</v>
      </c>
      <c r="C66" s="551" t="e">
        <f>+C65/C71*100</f>
        <v>#DIV/0!</v>
      </c>
      <c r="D66" s="550">
        <f t="shared" ref="D66" si="61">+D65/$H$65*100</f>
        <v>0</v>
      </c>
      <c r="E66" s="551" t="e">
        <f t="shared" ref="E66" si="62">+E65/E71*100</f>
        <v>#DIV/0!</v>
      </c>
      <c r="F66" s="550">
        <f t="shared" ref="F66" si="63">+F65/$H$65*100</f>
        <v>1.4412136536030342</v>
      </c>
      <c r="G66" s="551" t="e">
        <f t="shared" ref="G66" si="64">+G65/G71*100</f>
        <v>#DIV/0!</v>
      </c>
      <c r="H66" s="550">
        <f t="shared" ref="H66" si="65">+H65/$H$65*100</f>
        <v>100</v>
      </c>
      <c r="I66" s="551" t="e">
        <f t="shared" ref="I66" si="66">+I65/I71*100</f>
        <v>#DIV/0!</v>
      </c>
      <c r="J66" s="550">
        <f t="shared" si="59"/>
        <v>8.2253603144562515</v>
      </c>
      <c r="K66" s="551" t="e">
        <f t="shared" si="60"/>
        <v>#DIV/0!</v>
      </c>
      <c r="L66" s="566"/>
      <c r="M66" s="567"/>
    </row>
    <row r="67" spans="1:15" s="38" customFormat="1" ht="15" customHeight="1" x14ac:dyDescent="0.25">
      <c r="A67" s="651" t="s">
        <v>117</v>
      </c>
      <c r="B67" s="536">
        <v>28852.799999999996</v>
      </c>
      <c r="C67" s="537"/>
      <c r="D67" s="536"/>
      <c r="E67" s="537"/>
      <c r="F67" s="536">
        <v>422.40000000000009</v>
      </c>
      <c r="G67" s="537"/>
      <c r="H67" s="547">
        <f>+B67+D67+F67</f>
        <v>29275.199999999997</v>
      </c>
      <c r="I67" s="548"/>
      <c r="J67" s="550"/>
      <c r="K67" s="551"/>
      <c r="L67" s="566"/>
      <c r="M67" s="567"/>
    </row>
    <row r="68" spans="1:15" s="38" customFormat="1" ht="15" customHeight="1" x14ac:dyDescent="0.25">
      <c r="A68" s="652"/>
      <c r="B68" s="554">
        <f>+B67/$H$67*100</f>
        <v>98.557140514838494</v>
      </c>
      <c r="C68" s="555" t="e">
        <f>+C67/#REF!*100</f>
        <v>#REF!</v>
      </c>
      <c r="D68" s="554">
        <f t="shared" ref="D68" si="67">+D67/$H$67*100</f>
        <v>0</v>
      </c>
      <c r="E68" s="555" t="e">
        <f>+E67/#REF!*100</f>
        <v>#REF!</v>
      </c>
      <c r="F68" s="554">
        <f t="shared" ref="F68" si="68">+F67/$H$67*100</f>
        <v>1.4428594851615022</v>
      </c>
      <c r="G68" s="555" t="e">
        <f>+G67/#REF!*100</f>
        <v>#REF!</v>
      </c>
      <c r="H68" s="554">
        <f t="shared" ref="H68" si="69">+H67/$H$67*100</f>
        <v>100</v>
      </c>
      <c r="I68" s="555" t="e">
        <f>+I67/#REF!*100</f>
        <v>#REF!</v>
      </c>
      <c r="J68" s="550">
        <f t="shared" si="59"/>
        <v>38.052950107106462</v>
      </c>
      <c r="K68" s="551" t="e">
        <f t="shared" si="60"/>
        <v>#DIV/0!</v>
      </c>
      <c r="L68" s="566"/>
      <c r="M68" s="567"/>
    </row>
    <row r="69" spans="1:15" s="38" customFormat="1" ht="15.75" customHeight="1" x14ac:dyDescent="0.25">
      <c r="A69" s="524" t="s">
        <v>43</v>
      </c>
      <c r="B69" s="536">
        <f>+B61+B63+B65+B67</f>
        <v>75728</v>
      </c>
      <c r="C69" s="537"/>
      <c r="D69" s="536"/>
      <c r="E69" s="537"/>
      <c r="F69" s="536">
        <f>+F67+F65+F63+F61</f>
        <v>1204.8000000000002</v>
      </c>
      <c r="G69" s="537"/>
      <c r="H69" s="547">
        <f>+B69+D69+F69</f>
        <v>76932.800000000003</v>
      </c>
      <c r="I69" s="548"/>
      <c r="J69" s="550"/>
      <c r="K69" s="551"/>
      <c r="L69" s="566"/>
      <c r="M69" s="567"/>
    </row>
    <row r="70" spans="1:15" s="38" customFormat="1" ht="16.5" customHeight="1" x14ac:dyDescent="0.25">
      <c r="A70" s="524"/>
      <c r="B70" s="550">
        <f>+B69/$H$69*100</f>
        <v>98.433957947715399</v>
      </c>
      <c r="C70" s="551" t="e">
        <f>+C69/C83*100</f>
        <v>#DIV/0!</v>
      </c>
      <c r="D70" s="550">
        <f t="shared" ref="D70" si="70">+D69/$H$69*100</f>
        <v>0</v>
      </c>
      <c r="E70" s="551" t="e">
        <f t="shared" ref="E70" si="71">+E69/E83*100</f>
        <v>#VALUE!</v>
      </c>
      <c r="F70" s="550">
        <f t="shared" ref="F70" si="72">+F69/$H$69*100</f>
        <v>1.5660420522845913</v>
      </c>
      <c r="G70" s="551" t="e">
        <f t="shared" ref="G70" si="73">+G69/G83*100</f>
        <v>#VALUE!</v>
      </c>
      <c r="H70" s="550">
        <f t="shared" ref="H70" si="74">+H69/$H$69*100</f>
        <v>100</v>
      </c>
      <c r="I70" s="551" t="e">
        <f t="shared" ref="I70" si="75">+I69/I83*100</f>
        <v>#VALUE!</v>
      </c>
      <c r="J70" s="550">
        <f t="shared" si="59"/>
        <v>100</v>
      </c>
      <c r="K70" s="551" t="e">
        <f t="shared" si="60"/>
        <v>#DIV/0!</v>
      </c>
      <c r="L70" s="568"/>
      <c r="M70" s="569"/>
    </row>
    <row r="71" spans="1:15" ht="16.5" customHeight="1" x14ac:dyDescent="0.25">
      <c r="A71" s="2" t="s">
        <v>307</v>
      </c>
      <c r="B71" s="7"/>
      <c r="C71" s="7"/>
      <c r="D71" s="7"/>
      <c r="E71" s="7"/>
      <c r="F71" s="7"/>
      <c r="G71" s="7"/>
      <c r="J71" s="7"/>
      <c r="K71" s="7"/>
      <c r="L71" s="7"/>
      <c r="M71" s="7"/>
    </row>
    <row r="72" spans="1:15" s="38" customFormat="1" ht="16.5" customHeight="1" x14ac:dyDescent="0.25">
      <c r="A72" s="524" t="s">
        <v>32</v>
      </c>
      <c r="B72" s="542" t="s">
        <v>33</v>
      </c>
      <c r="C72" s="542"/>
      <c r="D72" s="542"/>
      <c r="E72" s="542"/>
      <c r="F72" s="542"/>
      <c r="G72" s="542"/>
      <c r="H72" s="542"/>
      <c r="I72" s="542"/>
      <c r="J72" s="543" t="s">
        <v>34</v>
      </c>
      <c r="K72" s="544"/>
      <c r="L72" s="524" t="s">
        <v>35</v>
      </c>
      <c r="M72" s="524"/>
      <c r="O72" s="316" t="s">
        <v>150</v>
      </c>
    </row>
    <row r="73" spans="1:15" s="38" customFormat="1" ht="16.5" customHeight="1" x14ac:dyDescent="0.25">
      <c r="A73" s="524"/>
      <c r="B73" s="528" t="s">
        <v>18</v>
      </c>
      <c r="C73" s="529"/>
      <c r="D73" s="528" t="s">
        <v>19</v>
      </c>
      <c r="E73" s="529"/>
      <c r="F73" s="528" t="s">
        <v>20</v>
      </c>
      <c r="G73" s="529"/>
      <c r="H73" s="528" t="s">
        <v>36</v>
      </c>
      <c r="I73" s="529"/>
      <c r="J73" s="545"/>
      <c r="K73" s="546"/>
      <c r="L73" s="524"/>
      <c r="M73" s="524"/>
    </row>
    <row r="74" spans="1:15" s="38" customFormat="1" ht="16.5" customHeight="1" x14ac:dyDescent="0.25">
      <c r="A74" s="535" t="s">
        <v>37</v>
      </c>
      <c r="B74" s="536">
        <v>2784</v>
      </c>
      <c r="C74" s="537"/>
      <c r="D74" s="536"/>
      <c r="E74" s="537"/>
      <c r="F74" s="536">
        <v>162</v>
      </c>
      <c r="G74" s="537"/>
      <c r="H74" s="547">
        <f>+B74+D74+F74</f>
        <v>2946</v>
      </c>
      <c r="I74" s="548"/>
      <c r="J74" s="549"/>
      <c r="K74" s="541"/>
      <c r="L74" s="566"/>
      <c r="M74" s="567"/>
    </row>
    <row r="75" spans="1:15" s="38" customFormat="1" ht="16.5" customHeight="1" x14ac:dyDescent="0.25">
      <c r="A75" s="535"/>
      <c r="B75" s="550">
        <f>+B74/$H$74*100</f>
        <v>94.501018329938901</v>
      </c>
      <c r="C75" s="551" t="e">
        <f>+C74/C76*100</f>
        <v>#DIV/0!</v>
      </c>
      <c r="D75" s="550">
        <f t="shared" ref="D75" si="76">+D74/$H$36*100</f>
        <v>0</v>
      </c>
      <c r="E75" s="551" t="e">
        <f>+E74/E76*100</f>
        <v>#DIV/0!</v>
      </c>
      <c r="F75" s="550">
        <f>+F74/$H$74*100</f>
        <v>5.4989816700610996</v>
      </c>
      <c r="G75" s="643"/>
      <c r="H75" s="550">
        <f>+B75+F75</f>
        <v>100</v>
      </c>
      <c r="I75" s="551" t="e">
        <f>+I74/I80*100</f>
        <v>#DIV/0!</v>
      </c>
      <c r="J75" s="549">
        <f>+H74/$H$78*100</f>
        <v>51.9439301772018</v>
      </c>
      <c r="K75" s="541"/>
      <c r="L75" s="566"/>
      <c r="M75" s="567"/>
    </row>
    <row r="76" spans="1:15" s="38" customFormat="1" ht="16.5" customHeight="1" x14ac:dyDescent="0.25">
      <c r="A76" s="535" t="s">
        <v>173</v>
      </c>
      <c r="B76" s="536">
        <v>2688</v>
      </c>
      <c r="C76" s="537"/>
      <c r="D76" s="536"/>
      <c r="E76" s="537"/>
      <c r="F76" s="536">
        <v>37.5</v>
      </c>
      <c r="G76" s="537"/>
      <c r="H76" s="547">
        <f>+B76+D76+F76</f>
        <v>2725.5</v>
      </c>
      <c r="I76" s="548"/>
      <c r="J76" s="549"/>
      <c r="K76" s="541"/>
      <c r="L76" s="566"/>
      <c r="M76" s="567"/>
    </row>
    <row r="77" spans="1:15" s="38" customFormat="1" ht="16.5" customHeight="1" x14ac:dyDescent="0.25">
      <c r="A77" s="535"/>
      <c r="B77" s="550">
        <f>+B76/H76*100</f>
        <v>98.624105668684649</v>
      </c>
      <c r="C77" s="551" t="e">
        <f>+C76/C78*100</f>
        <v>#REF!</v>
      </c>
      <c r="D77" s="550">
        <f t="shared" ref="D77" si="77">+D76/$H$42*100</f>
        <v>0</v>
      </c>
      <c r="E77" s="551" t="e">
        <f>+E76/E78*100</f>
        <v>#REF!</v>
      </c>
      <c r="F77" s="550">
        <f>+F76/$H$76*100</f>
        <v>1.3758943313153549</v>
      </c>
      <c r="G77" s="551" t="e">
        <f>+G76/G78*100</f>
        <v>#REF!</v>
      </c>
      <c r="H77" s="550">
        <f>+H76/H76*100</f>
        <v>100</v>
      </c>
      <c r="I77" s="551" t="e">
        <f>+I76/#REF!*100</f>
        <v>#REF!</v>
      </c>
      <c r="J77" s="549">
        <f>+H76/$H$78*100</f>
        <v>48.0560698227982</v>
      </c>
      <c r="K77" s="541"/>
      <c r="L77" s="566"/>
      <c r="M77" s="567"/>
    </row>
    <row r="78" spans="1:15" s="38" customFormat="1" ht="16.5" customHeight="1" x14ac:dyDescent="0.25">
      <c r="A78" s="524" t="s">
        <v>43</v>
      </c>
      <c r="B78" s="556">
        <f>+B76+B74</f>
        <v>5472</v>
      </c>
      <c r="C78" s="529" t="e">
        <f>+#REF!+#REF!+#REF!+#REF!+#REF!+C76+#REF!</f>
        <v>#REF!</v>
      </c>
      <c r="D78" s="556">
        <f t="shared" ref="D78" si="78">+D76+D74</f>
        <v>0</v>
      </c>
      <c r="E78" s="529" t="e">
        <f>+#REF!+#REF!+#REF!+#REF!+#REF!+E76+#REF!</f>
        <v>#REF!</v>
      </c>
      <c r="F78" s="556">
        <f t="shared" ref="F78" si="79">+F76+F74</f>
        <v>199.5</v>
      </c>
      <c r="G78" s="529" t="e">
        <f>+#REF!+#REF!+#REF!+#REF!+#REF!+G76+#REF!</f>
        <v>#REF!</v>
      </c>
      <c r="H78" s="556">
        <f>+B78+F78</f>
        <v>5671.5</v>
      </c>
      <c r="I78" s="529" t="e">
        <f>+#REF!+#REF!+#REF!+#REF!+#REF!+I76+#REF!</f>
        <v>#REF!</v>
      </c>
      <c r="J78" s="549"/>
      <c r="K78" s="541"/>
      <c r="L78" s="566"/>
      <c r="M78" s="567"/>
      <c r="O78" s="168" t="e">
        <f>+#REF!+H75+#REF!+#REF!+#REF!+H77+#REF!+#REF!</f>
        <v>#REF!</v>
      </c>
    </row>
    <row r="79" spans="1:15" s="38" customFormat="1" ht="16.5" customHeight="1" x14ac:dyDescent="0.25">
      <c r="A79" s="524"/>
      <c r="B79" s="550">
        <f>+B78/H78*100</f>
        <v>96.482412060301499</v>
      </c>
      <c r="C79" s="551" t="e">
        <f>+#REF!+C77+#REF!+#REF!+#REF!+#REF!</f>
        <v>#REF!</v>
      </c>
      <c r="D79" s="550">
        <f t="shared" ref="D79" si="80">+D78/$H$56*100</f>
        <v>0</v>
      </c>
      <c r="E79" s="551" t="e">
        <f>+#REF!+E77+#REF!+#REF!+#REF!+#REF!</f>
        <v>#REF!</v>
      </c>
      <c r="F79" s="550">
        <f>+F78/$H$78*100</f>
        <v>3.5175879396984926</v>
      </c>
      <c r="G79" s="643"/>
      <c r="H79" s="550">
        <f>+H78/$H$78*100</f>
        <v>100</v>
      </c>
      <c r="I79" s="551" t="e">
        <f>+#REF!+I77+#REF!+#REF!+#REF!+#REF!</f>
        <v>#REF!</v>
      </c>
      <c r="J79" s="549">
        <f>+H78/$H$78*100</f>
        <v>100</v>
      </c>
      <c r="K79" s="541"/>
      <c r="L79" s="568"/>
      <c r="M79" s="569"/>
    </row>
    <row r="80" spans="1:15" ht="18" customHeight="1" x14ac:dyDescent="0.25">
      <c r="A80" s="1" t="s">
        <v>308</v>
      </c>
      <c r="B80" s="7"/>
      <c r="C80" s="7"/>
      <c r="D80" s="7"/>
      <c r="E80" s="7"/>
      <c r="F80" s="7"/>
      <c r="G80" s="7"/>
      <c r="J80" s="7"/>
      <c r="K80" s="7"/>
      <c r="L80" s="7"/>
      <c r="M80" s="7"/>
    </row>
    <row r="81" spans="1:19" ht="16.5" customHeight="1" x14ac:dyDescent="0.25">
      <c r="A81" s="1" t="s">
        <v>45</v>
      </c>
      <c r="B81" s="7"/>
      <c r="C81" s="7"/>
      <c r="D81" s="7"/>
      <c r="E81" s="7"/>
      <c r="F81" s="7"/>
      <c r="G81" s="7"/>
      <c r="J81" s="7"/>
      <c r="K81" s="7"/>
      <c r="L81" s="7"/>
      <c r="M81" s="7"/>
    </row>
    <row r="82" spans="1:19" ht="17.25" customHeight="1" x14ac:dyDescent="0.25">
      <c r="A82" s="2" t="s">
        <v>309</v>
      </c>
      <c r="B82" s="7"/>
      <c r="C82" s="7"/>
      <c r="D82" s="7"/>
      <c r="E82" s="7"/>
      <c r="F82" s="7"/>
      <c r="G82" s="7"/>
      <c r="J82" s="7"/>
      <c r="K82" s="7"/>
      <c r="L82" s="7"/>
      <c r="M82" s="7"/>
      <c r="N82" s="157" t="s">
        <v>181</v>
      </c>
    </row>
    <row r="83" spans="1:19" ht="33" customHeight="1" x14ac:dyDescent="0.25">
      <c r="A83" s="180" t="s">
        <v>47</v>
      </c>
      <c r="B83" s="524" t="s">
        <v>48</v>
      </c>
      <c r="C83" s="524"/>
      <c r="D83" s="180" t="s">
        <v>17</v>
      </c>
      <c r="E83" s="180" t="s">
        <v>49</v>
      </c>
      <c r="F83" s="180" t="s">
        <v>50</v>
      </c>
      <c r="G83" s="528" t="s">
        <v>51</v>
      </c>
      <c r="H83" s="529"/>
      <c r="I83" s="180" t="s">
        <v>52</v>
      </c>
      <c r="J83" s="180" t="s">
        <v>53</v>
      </c>
      <c r="K83" s="528" t="s">
        <v>35</v>
      </c>
      <c r="L83" s="557"/>
      <c r="M83" s="529"/>
      <c r="N83" s="47" t="s">
        <v>54</v>
      </c>
      <c r="O83" s="48">
        <v>5671.5</v>
      </c>
      <c r="P83" s="47" t="s">
        <v>13</v>
      </c>
      <c r="Q83" s="47">
        <f>+Q84+Q85</f>
        <v>0</v>
      </c>
    </row>
    <row r="84" spans="1:19" ht="18" customHeight="1" x14ac:dyDescent="0.25">
      <c r="A84" s="11">
        <v>1</v>
      </c>
      <c r="B84" s="585" t="s">
        <v>74</v>
      </c>
      <c r="C84" s="585"/>
      <c r="D84" s="190" t="s">
        <v>56</v>
      </c>
      <c r="E84" s="50">
        <v>21.26</v>
      </c>
      <c r="F84" s="51">
        <f>+G84/$O$83</f>
        <v>33.600634752710924</v>
      </c>
      <c r="G84" s="578">
        <v>190566</v>
      </c>
      <c r="H84" s="579"/>
      <c r="I84" s="187"/>
      <c r="J84" s="189">
        <f>+(F84-E84)*$O$83</f>
        <v>69989.91</v>
      </c>
      <c r="K84" s="561" t="s">
        <v>310</v>
      </c>
      <c r="L84" s="562"/>
      <c r="M84" s="563"/>
      <c r="N84" s="54" t="s">
        <v>76</v>
      </c>
      <c r="O84" s="55"/>
      <c r="P84" s="55"/>
      <c r="Q84" s="55"/>
      <c r="R84" s="46"/>
    </row>
    <row r="85" spans="1:19" ht="18" customHeight="1" x14ac:dyDescent="0.25">
      <c r="A85" s="11">
        <v>2</v>
      </c>
      <c r="B85" s="558" t="s">
        <v>77</v>
      </c>
      <c r="C85" s="558"/>
      <c r="D85" s="188" t="s">
        <v>56</v>
      </c>
      <c r="E85" s="56">
        <v>0.28000000000000003</v>
      </c>
      <c r="F85" s="57">
        <f t="shared" ref="F85:F97" si="81">+G85/$O$83</f>
        <v>0.33220488406947118</v>
      </c>
      <c r="G85" s="578">
        <v>1884.1000000000058</v>
      </c>
      <c r="H85" s="579"/>
      <c r="I85" s="187"/>
      <c r="J85" s="189">
        <f t="shared" ref="J85:J97" si="82">+(F85-E85)*$O$83</f>
        <v>296.08000000000567</v>
      </c>
      <c r="K85" s="561"/>
      <c r="L85" s="562"/>
      <c r="M85" s="563"/>
      <c r="N85" s="54" t="s">
        <v>78</v>
      </c>
      <c r="O85" s="55"/>
      <c r="P85" s="55"/>
      <c r="Q85" s="55"/>
      <c r="R85" s="46"/>
    </row>
    <row r="86" spans="1:19" ht="18" customHeight="1" x14ac:dyDescent="0.25">
      <c r="A86" s="11">
        <v>3</v>
      </c>
      <c r="B86" s="583" t="s">
        <v>79</v>
      </c>
      <c r="C86" s="584"/>
      <c r="D86" s="188" t="s">
        <v>56</v>
      </c>
      <c r="E86" s="56"/>
      <c r="F86" s="51">
        <f t="shared" si="81"/>
        <v>0</v>
      </c>
      <c r="G86" s="559"/>
      <c r="H86" s="560"/>
      <c r="I86" s="187">
        <f t="shared" ref="I86:I95" si="83">+(E86-F86)*$O$83</f>
        <v>0</v>
      </c>
      <c r="J86" s="189">
        <f t="shared" si="82"/>
        <v>0</v>
      </c>
      <c r="K86" s="58"/>
      <c r="L86" s="58"/>
      <c r="M86" s="61"/>
      <c r="N86" s="71"/>
      <c r="O86" s="71"/>
      <c r="P86" s="71"/>
      <c r="R86" s="46"/>
      <c r="S86" s="6"/>
    </row>
    <row r="87" spans="1:19" ht="18" customHeight="1" x14ac:dyDescent="0.25">
      <c r="A87" s="11">
        <v>4</v>
      </c>
      <c r="B87" s="558" t="s">
        <v>80</v>
      </c>
      <c r="C87" s="558"/>
      <c r="D87" s="188" t="s">
        <v>56</v>
      </c>
      <c r="E87" s="56">
        <v>9.8000000000000004E-2</v>
      </c>
      <c r="F87" s="57">
        <f t="shared" si="81"/>
        <v>0.14782685356607561</v>
      </c>
      <c r="G87" s="578">
        <v>838.39999999999782</v>
      </c>
      <c r="H87" s="579"/>
      <c r="I87" s="187"/>
      <c r="J87" s="189">
        <f t="shared" si="82"/>
        <v>282.5929999999978</v>
      </c>
      <c r="K87" s="561"/>
      <c r="L87" s="562"/>
      <c r="M87" s="563"/>
      <c r="N87" s="72"/>
      <c r="O87" s="71"/>
      <c r="P87" s="73"/>
      <c r="R87" s="46"/>
      <c r="S87" s="6"/>
    </row>
    <row r="88" spans="1:19" s="76" customFormat="1" ht="18" customHeight="1" x14ac:dyDescent="0.25">
      <c r="A88" s="11">
        <v>5</v>
      </c>
      <c r="B88" s="583" t="s">
        <v>81</v>
      </c>
      <c r="C88" s="584"/>
      <c r="D88" s="188" t="s">
        <v>56</v>
      </c>
      <c r="E88" s="63"/>
      <c r="F88" s="51">
        <f t="shared" si="81"/>
        <v>0</v>
      </c>
      <c r="G88" s="559"/>
      <c r="H88" s="560"/>
      <c r="I88" s="187">
        <f t="shared" si="83"/>
        <v>0</v>
      </c>
      <c r="J88" s="189">
        <f t="shared" si="82"/>
        <v>0</v>
      </c>
      <c r="K88" s="58"/>
      <c r="L88" s="58"/>
      <c r="M88" s="74"/>
      <c r="N88" s="72"/>
      <c r="O88" s="75">
        <f>+O83/G96</f>
        <v>87.253846153846155</v>
      </c>
      <c r="P88" s="75"/>
      <c r="R88" s="77"/>
    </row>
    <row r="89" spans="1:19" s="76" customFormat="1" ht="18" customHeight="1" x14ac:dyDescent="0.25">
      <c r="A89" s="11">
        <v>6</v>
      </c>
      <c r="B89" s="558" t="s">
        <v>82</v>
      </c>
      <c r="C89" s="558"/>
      <c r="D89" s="188" t="s">
        <v>56</v>
      </c>
      <c r="E89" s="78">
        <v>0.11899999999999999</v>
      </c>
      <c r="F89" s="57">
        <f t="shared" si="81"/>
        <v>0.12924270475182939</v>
      </c>
      <c r="G89" s="559">
        <v>733.00000000000045</v>
      </c>
      <c r="H89" s="560"/>
      <c r="I89" s="187"/>
      <c r="J89" s="189">
        <f t="shared" si="82"/>
        <v>58.091500000000416</v>
      </c>
      <c r="K89" s="58"/>
      <c r="L89" s="58"/>
      <c r="M89" s="74"/>
      <c r="N89" s="75"/>
      <c r="O89" s="75"/>
      <c r="P89" s="75"/>
      <c r="R89" s="77"/>
    </row>
    <row r="90" spans="1:19" ht="18" customHeight="1" x14ac:dyDescent="0.25">
      <c r="A90" s="11">
        <v>7</v>
      </c>
      <c r="B90" s="583" t="s">
        <v>83</v>
      </c>
      <c r="C90" s="584"/>
      <c r="D90" s="188" t="s">
        <v>62</v>
      </c>
      <c r="E90" s="63">
        <v>0.66900000000000004</v>
      </c>
      <c r="F90" s="57">
        <f t="shared" si="81"/>
        <v>0.67001675041876052</v>
      </c>
      <c r="G90" s="559">
        <v>3800</v>
      </c>
      <c r="H90" s="560"/>
      <c r="I90" s="187"/>
      <c r="J90" s="189">
        <f t="shared" si="82"/>
        <v>5.7665000000000708</v>
      </c>
      <c r="K90" s="58"/>
      <c r="L90" s="58"/>
      <c r="M90" s="59"/>
      <c r="N90" s="71"/>
      <c r="O90" s="6"/>
      <c r="R90" s="46"/>
    </row>
    <row r="91" spans="1:19" ht="18" customHeight="1" x14ac:dyDescent="0.25">
      <c r="A91" s="11">
        <v>8</v>
      </c>
      <c r="B91" s="583" t="s">
        <v>84</v>
      </c>
      <c r="C91" s="584"/>
      <c r="D91" s="188" t="s">
        <v>56</v>
      </c>
      <c r="E91" s="56">
        <v>0.02</v>
      </c>
      <c r="F91" s="57">
        <f t="shared" si="81"/>
        <v>1.5868817773075906E-2</v>
      </c>
      <c r="G91" s="559">
        <v>90</v>
      </c>
      <c r="H91" s="560"/>
      <c r="I91" s="187">
        <f t="shared" si="83"/>
        <v>23.430000000000003</v>
      </c>
      <c r="J91" s="189"/>
      <c r="K91" s="58"/>
      <c r="L91" s="58"/>
      <c r="M91" s="59"/>
      <c r="O91" s="45"/>
      <c r="P91" s="79"/>
      <c r="R91" s="46"/>
    </row>
    <row r="92" spans="1:19" ht="18" customHeight="1" x14ac:dyDescent="0.25">
      <c r="A92" s="11">
        <v>9</v>
      </c>
      <c r="B92" s="583" t="s">
        <v>64</v>
      </c>
      <c r="C92" s="584"/>
      <c r="D92" s="188" t="s">
        <v>56</v>
      </c>
      <c r="E92" s="65">
        <v>2.01E-2</v>
      </c>
      <c r="F92" s="57">
        <f t="shared" si="81"/>
        <v>1.5868817773075906E-2</v>
      </c>
      <c r="G92" s="559">
        <v>90</v>
      </c>
      <c r="H92" s="560"/>
      <c r="I92" s="187">
        <f t="shared" si="83"/>
        <v>23.997150000000001</v>
      </c>
      <c r="J92" s="189"/>
      <c r="K92" s="58"/>
      <c r="L92" s="58"/>
      <c r="M92" s="59"/>
      <c r="N92" s="64"/>
      <c r="O92" s="45"/>
      <c r="R92" s="46"/>
    </row>
    <row r="93" spans="1:19" ht="18" customHeight="1" x14ac:dyDescent="0.25">
      <c r="A93" s="11">
        <v>10</v>
      </c>
      <c r="B93" s="583" t="s">
        <v>65</v>
      </c>
      <c r="C93" s="584"/>
      <c r="D93" s="188" t="s">
        <v>56</v>
      </c>
      <c r="E93" s="50">
        <v>1.84</v>
      </c>
      <c r="F93" s="317">
        <f t="shared" si="81"/>
        <v>2.4931675923477039</v>
      </c>
      <c r="G93" s="574">
        <v>14140.000000000002</v>
      </c>
      <c r="H93" s="575"/>
      <c r="I93" s="187"/>
      <c r="J93" s="189">
        <f t="shared" si="82"/>
        <v>3704.4400000000023</v>
      </c>
      <c r="K93" s="589"/>
      <c r="L93" s="590"/>
      <c r="M93" s="591"/>
      <c r="N93" s="81"/>
      <c r="O93" s="6"/>
      <c r="R93" s="46"/>
    </row>
    <row r="94" spans="1:19" ht="18" customHeight="1" x14ac:dyDescent="0.25">
      <c r="A94" s="11">
        <v>11</v>
      </c>
      <c r="B94" s="583" t="s">
        <v>67</v>
      </c>
      <c r="C94" s="584"/>
      <c r="D94" s="188" t="s">
        <v>56</v>
      </c>
      <c r="E94" s="65">
        <v>7.6E-3</v>
      </c>
      <c r="F94" s="66">
        <f t="shared" si="81"/>
        <v>7.0528078991448475E-3</v>
      </c>
      <c r="G94" s="559">
        <v>40</v>
      </c>
      <c r="H94" s="560"/>
      <c r="I94" s="187">
        <f t="shared" si="83"/>
        <v>3.1033999999999975</v>
      </c>
      <c r="J94" s="189"/>
      <c r="K94" s="58"/>
      <c r="L94" s="58"/>
      <c r="M94" s="59"/>
      <c r="N94" s="64"/>
      <c r="O94" s="45"/>
      <c r="R94" s="46"/>
    </row>
    <row r="95" spans="1:19" ht="18" customHeight="1" x14ac:dyDescent="0.25">
      <c r="A95" s="11">
        <v>12</v>
      </c>
      <c r="B95" s="583" t="s">
        <v>68</v>
      </c>
      <c r="C95" s="584"/>
      <c r="D95" s="188" t="s">
        <v>62</v>
      </c>
      <c r="E95" s="56">
        <v>4.2999999999999997E-2</v>
      </c>
      <c r="F95" s="57">
        <f t="shared" si="81"/>
        <v>4.0553645420082871E-2</v>
      </c>
      <c r="G95" s="559">
        <v>230</v>
      </c>
      <c r="H95" s="560"/>
      <c r="I95" s="187">
        <f t="shared" si="83"/>
        <v>13.87449999999998</v>
      </c>
      <c r="J95" s="189"/>
      <c r="K95" s="586"/>
      <c r="L95" s="587"/>
      <c r="M95" s="59"/>
      <c r="N95" s="64"/>
      <c r="O95" s="45"/>
      <c r="R95" s="46">
        <f>+O95-H95</f>
        <v>0</v>
      </c>
    </row>
    <row r="96" spans="1:19" ht="18" customHeight="1" x14ac:dyDescent="0.25">
      <c r="A96" s="11">
        <v>13</v>
      </c>
      <c r="B96" s="583" t="s">
        <v>69</v>
      </c>
      <c r="C96" s="584"/>
      <c r="D96" s="188" t="s">
        <v>62</v>
      </c>
      <c r="E96" s="65">
        <v>1.0699999999999999E-2</v>
      </c>
      <c r="F96" s="66">
        <f t="shared" si="81"/>
        <v>1.1460812836110376E-2</v>
      </c>
      <c r="G96" s="559">
        <v>65</v>
      </c>
      <c r="H96" s="560"/>
      <c r="I96" s="187"/>
      <c r="J96" s="189">
        <f t="shared" si="82"/>
        <v>4.3149500000000014</v>
      </c>
      <c r="K96" s="586" t="s">
        <v>311</v>
      </c>
      <c r="L96" s="587"/>
      <c r="M96" s="59"/>
      <c r="N96" s="64"/>
      <c r="O96" s="45"/>
      <c r="R96" s="46">
        <f>+O96-H96</f>
        <v>0</v>
      </c>
    </row>
    <row r="97" spans="1:18" ht="18" customHeight="1" x14ac:dyDescent="0.25">
      <c r="A97" s="11">
        <v>14</v>
      </c>
      <c r="B97" s="583" t="s">
        <v>71</v>
      </c>
      <c r="C97" s="584"/>
      <c r="D97" s="188" t="s">
        <v>62</v>
      </c>
      <c r="E97" s="56">
        <v>0.06</v>
      </c>
      <c r="F97" s="57">
        <f t="shared" si="81"/>
        <v>0.86396896764524378</v>
      </c>
      <c r="G97" s="574">
        <v>4900</v>
      </c>
      <c r="H97" s="575"/>
      <c r="I97" s="187"/>
      <c r="J97" s="189">
        <f t="shared" si="82"/>
        <v>4559.71</v>
      </c>
      <c r="K97" s="588"/>
      <c r="L97" s="576"/>
      <c r="M97" s="577"/>
      <c r="O97" s="45"/>
      <c r="R97" s="46"/>
    </row>
    <row r="98" spans="1:18" ht="32.25" customHeight="1" x14ac:dyDescent="0.25">
      <c r="A98" s="657" t="s">
        <v>312</v>
      </c>
      <c r="B98" s="658"/>
      <c r="C98" s="658"/>
      <c r="D98" s="658"/>
      <c r="E98" s="658"/>
      <c r="F98" s="658"/>
      <c r="G98" s="658"/>
      <c r="H98" s="658"/>
      <c r="I98" s="658"/>
      <c r="J98" s="658"/>
      <c r="K98" s="658"/>
      <c r="L98" s="658"/>
      <c r="M98" s="658"/>
      <c r="O98" s="45"/>
      <c r="R98" s="46"/>
    </row>
    <row r="99" spans="1:18" ht="18" customHeight="1" x14ac:dyDescent="0.25">
      <c r="A99" s="2" t="s">
        <v>313</v>
      </c>
      <c r="B99" s="39"/>
      <c r="C99" s="39"/>
      <c r="D99" s="39"/>
      <c r="E99" s="40"/>
      <c r="F99" s="41"/>
      <c r="G99" s="42"/>
      <c r="H99" s="42"/>
      <c r="I99" s="43"/>
      <c r="J99" s="44"/>
      <c r="K99" s="2"/>
      <c r="L99" s="2"/>
      <c r="M99" s="7"/>
      <c r="N99" s="18" t="s">
        <v>181</v>
      </c>
      <c r="O99" s="48">
        <v>5671.5</v>
      </c>
      <c r="R99" s="46"/>
    </row>
    <row r="100" spans="1:18" ht="21" customHeight="1" x14ac:dyDescent="0.25">
      <c r="A100" s="180" t="s">
        <v>47</v>
      </c>
      <c r="B100" s="524" t="s">
        <v>48</v>
      </c>
      <c r="C100" s="524"/>
      <c r="D100" s="180" t="s">
        <v>17</v>
      </c>
      <c r="E100" s="180" t="s">
        <v>49</v>
      </c>
      <c r="F100" s="180" t="s">
        <v>50</v>
      </c>
      <c r="G100" s="528" t="s">
        <v>51</v>
      </c>
      <c r="H100" s="529"/>
      <c r="I100" s="180" t="s">
        <v>52</v>
      </c>
      <c r="J100" s="181" t="s">
        <v>53</v>
      </c>
      <c r="K100" s="528" t="s">
        <v>35</v>
      </c>
      <c r="L100" s="557"/>
      <c r="M100" s="529"/>
      <c r="N100" s="47" t="s">
        <v>54</v>
      </c>
      <c r="O100" s="48">
        <v>430838.39999999991</v>
      </c>
      <c r="P100" s="47" t="s">
        <v>13</v>
      </c>
      <c r="Q100" s="47">
        <v>1296</v>
      </c>
      <c r="R100" s="46"/>
    </row>
    <row r="101" spans="1:18" ht="27.75" customHeight="1" x14ac:dyDescent="0.25">
      <c r="A101" s="11">
        <v>1</v>
      </c>
      <c r="B101" s="572" t="s">
        <v>55</v>
      </c>
      <c r="C101" s="572"/>
      <c r="D101" s="190" t="s">
        <v>56</v>
      </c>
      <c r="E101" s="32">
        <v>21.01</v>
      </c>
      <c r="F101" s="51">
        <f>+G101/$O$100</f>
        <v>20.654386888448201</v>
      </c>
      <c r="G101" s="559">
        <v>8898703</v>
      </c>
      <c r="H101" s="560"/>
      <c r="I101" s="159">
        <f>+(E101-F101)*$O$100</f>
        <v>153211.78399999929</v>
      </c>
      <c r="J101" s="189">
        <v>0</v>
      </c>
      <c r="K101" s="561" t="s">
        <v>314</v>
      </c>
      <c r="L101" s="562"/>
      <c r="M101" s="563"/>
      <c r="N101" s="54" t="s">
        <v>58</v>
      </c>
      <c r="O101" s="55" t="s">
        <v>337</v>
      </c>
      <c r="P101" s="55"/>
      <c r="Q101" s="55"/>
      <c r="R101" s="46"/>
    </row>
    <row r="102" spans="1:18" ht="15.75" customHeight="1" x14ac:dyDescent="0.25">
      <c r="A102" s="11">
        <v>2</v>
      </c>
      <c r="B102" s="572" t="s">
        <v>59</v>
      </c>
      <c r="C102" s="572"/>
      <c r="D102" s="190" t="s">
        <v>56</v>
      </c>
      <c r="E102" s="63">
        <v>0.50700000000000001</v>
      </c>
      <c r="F102" s="57">
        <f t="shared" ref="F102:F114" si="84">+G102/$O$100</f>
        <v>0.27483344103032603</v>
      </c>
      <c r="G102" s="559">
        <v>118408.79999999999</v>
      </c>
      <c r="H102" s="560"/>
      <c r="I102" s="159">
        <f t="shared" ref="I102:I114" si="85">+(E102-F102)*$O$100</f>
        <v>100026.26879999996</v>
      </c>
      <c r="J102" s="189">
        <v>0</v>
      </c>
      <c r="K102" s="58"/>
      <c r="L102" s="58"/>
      <c r="M102" s="59"/>
      <c r="N102" s="54"/>
      <c r="O102" s="55"/>
      <c r="P102" s="55"/>
      <c r="Q102" s="60"/>
      <c r="R102" s="46"/>
    </row>
    <row r="103" spans="1:18" ht="15.75" customHeight="1" x14ac:dyDescent="0.25">
      <c r="A103" s="11">
        <v>3</v>
      </c>
      <c r="B103" s="572" t="s">
        <v>60</v>
      </c>
      <c r="C103" s="572"/>
      <c r="D103" s="190" t="s">
        <v>56</v>
      </c>
      <c r="E103" s="63">
        <v>0.47799999999999998</v>
      </c>
      <c r="F103" s="51">
        <f t="shared" si="84"/>
        <v>0.37989742789872039</v>
      </c>
      <c r="G103" s="559">
        <v>163674.40000000002</v>
      </c>
      <c r="H103" s="560"/>
      <c r="I103" s="159">
        <f t="shared" si="85"/>
        <v>42266.355199999933</v>
      </c>
      <c r="J103" s="189">
        <v>0</v>
      </c>
      <c r="K103" s="58"/>
      <c r="L103" s="58"/>
      <c r="M103" s="61"/>
      <c r="O103" s="45"/>
      <c r="R103" s="46"/>
    </row>
    <row r="104" spans="1:18" ht="15.75" customHeight="1" x14ac:dyDescent="0.25">
      <c r="A104" s="11">
        <v>4</v>
      </c>
      <c r="B104" s="572" t="s">
        <v>315</v>
      </c>
      <c r="C104" s="572"/>
      <c r="D104" s="190" t="s">
        <v>56</v>
      </c>
      <c r="E104" s="63">
        <v>0.35399999999999998</v>
      </c>
      <c r="F104" s="57">
        <f>+G104/$O$100</f>
        <v>5.728969376917193E-2</v>
      </c>
      <c r="G104" s="559">
        <v>24682.6</v>
      </c>
      <c r="H104" s="560"/>
      <c r="I104" s="159">
        <f t="shared" si="85"/>
        <v>127834.19359999997</v>
      </c>
      <c r="J104" s="189">
        <v>0</v>
      </c>
      <c r="K104" s="58"/>
      <c r="L104" s="58"/>
      <c r="M104" s="59"/>
      <c r="N104" s="54"/>
      <c r="O104" s="55"/>
      <c r="P104" s="55"/>
      <c r="Q104" s="60"/>
      <c r="R104" s="46"/>
    </row>
    <row r="105" spans="1:18" ht="15.75" customHeight="1" x14ac:dyDescent="0.25">
      <c r="A105" s="11">
        <v>5</v>
      </c>
      <c r="B105" s="572" t="s">
        <v>316</v>
      </c>
      <c r="C105" s="572"/>
      <c r="D105" s="190" t="s">
        <v>56</v>
      </c>
      <c r="E105" s="63">
        <v>0.33200000000000002</v>
      </c>
      <c r="F105" s="57">
        <f>+G105/$O$100</f>
        <v>5.6478484740450259E-2</v>
      </c>
      <c r="G105" s="559">
        <v>24333.1</v>
      </c>
      <c r="H105" s="560"/>
      <c r="I105" s="159">
        <f t="shared" si="85"/>
        <v>118705.24879999999</v>
      </c>
      <c r="J105" s="189">
        <v>0</v>
      </c>
      <c r="K105" s="58"/>
      <c r="L105" s="58"/>
      <c r="M105" s="61"/>
      <c r="O105" s="45"/>
      <c r="R105" s="46"/>
    </row>
    <row r="106" spans="1:18" ht="15.75" customHeight="1" x14ac:dyDescent="0.25">
      <c r="A106" s="11">
        <v>6</v>
      </c>
      <c r="B106" s="572" t="s">
        <v>61</v>
      </c>
      <c r="C106" s="572"/>
      <c r="D106" s="190" t="s">
        <v>62</v>
      </c>
      <c r="E106" s="63">
        <v>0.627</v>
      </c>
      <c r="F106" s="57">
        <f t="shared" si="84"/>
        <v>0.62243523325683148</v>
      </c>
      <c r="G106" s="559">
        <v>268169</v>
      </c>
      <c r="H106" s="560"/>
      <c r="I106" s="159">
        <f t="shared" si="85"/>
        <v>1966.6767999999377</v>
      </c>
      <c r="J106" s="189">
        <v>0</v>
      </c>
      <c r="K106" s="570"/>
      <c r="L106" s="571"/>
      <c r="M106" s="551"/>
      <c r="N106" s="64"/>
      <c r="O106" s="169" t="e">
        <f>+O100+#REF!+Q100+#REF!</f>
        <v>#REF!</v>
      </c>
      <c r="P106" s="170"/>
      <c r="R106" s="46"/>
    </row>
    <row r="107" spans="1:18" ht="15.75" customHeight="1" x14ac:dyDescent="0.25">
      <c r="A107" s="11">
        <v>7</v>
      </c>
      <c r="B107" s="572" t="s">
        <v>63</v>
      </c>
      <c r="C107" s="572"/>
      <c r="D107" s="190" t="s">
        <v>56</v>
      </c>
      <c r="E107" s="63">
        <v>2.5000000000000001E-2</v>
      </c>
      <c r="F107" s="51">
        <f t="shared" si="84"/>
        <v>2.1075187355630329E-2</v>
      </c>
      <c r="G107" s="559">
        <v>9080</v>
      </c>
      <c r="H107" s="560"/>
      <c r="I107" s="159">
        <f t="shared" si="85"/>
        <v>1690.9599999999982</v>
      </c>
      <c r="J107" s="189">
        <v>0</v>
      </c>
      <c r="K107" s="570"/>
      <c r="L107" s="571"/>
      <c r="M107" s="551"/>
      <c r="N107" s="64"/>
      <c r="O107" s="171">
        <f>+O111</f>
        <v>0</v>
      </c>
      <c r="P107" s="60"/>
      <c r="R107" s="46"/>
    </row>
    <row r="108" spans="1:18" ht="15.75" customHeight="1" x14ac:dyDescent="0.25">
      <c r="A108" s="11">
        <v>8</v>
      </c>
      <c r="B108" s="572" t="s">
        <v>64</v>
      </c>
      <c r="C108" s="572"/>
      <c r="D108" s="190" t="s">
        <v>56</v>
      </c>
      <c r="E108" s="158">
        <v>1.09E-2</v>
      </c>
      <c r="F108" s="66">
        <f t="shared" si="84"/>
        <v>1.0862541500479068E-2</v>
      </c>
      <c r="G108" s="559">
        <v>4680</v>
      </c>
      <c r="H108" s="560"/>
      <c r="I108" s="159">
        <f t="shared" si="85"/>
        <v>16.138559999999188</v>
      </c>
      <c r="J108" s="189">
        <v>0</v>
      </c>
      <c r="K108" s="58"/>
      <c r="L108" s="58"/>
      <c r="M108" s="59"/>
      <c r="O108" s="45"/>
      <c r="R108" s="46"/>
    </row>
    <row r="109" spans="1:18" ht="15.75" customHeight="1" x14ac:dyDescent="0.25">
      <c r="A109" s="11">
        <v>9</v>
      </c>
      <c r="B109" s="572" t="s">
        <v>65</v>
      </c>
      <c r="C109" s="572"/>
      <c r="D109" s="190" t="s">
        <v>56</v>
      </c>
      <c r="E109" s="32">
        <v>1.79</v>
      </c>
      <c r="F109" s="51">
        <f t="shared" si="84"/>
        <v>1.5325560931010132</v>
      </c>
      <c r="G109" s="578">
        <v>660284.0150618914</v>
      </c>
      <c r="H109" s="579"/>
      <c r="I109" s="159">
        <f t="shared" si="85"/>
        <v>110916.72093810845</v>
      </c>
      <c r="J109" s="189">
        <v>0</v>
      </c>
      <c r="K109" s="580"/>
      <c r="L109" s="581"/>
      <c r="M109" s="582"/>
      <c r="O109" s="45"/>
      <c r="R109" s="46"/>
    </row>
    <row r="110" spans="1:18" ht="15.75" customHeight="1" x14ac:dyDescent="0.25">
      <c r="A110" s="11">
        <v>10</v>
      </c>
      <c r="B110" s="572" t="s">
        <v>67</v>
      </c>
      <c r="C110" s="572"/>
      <c r="D110" s="190" t="s">
        <v>56</v>
      </c>
      <c r="E110" s="158">
        <v>8.2000000000000007E-3</v>
      </c>
      <c r="F110" s="66">
        <f t="shared" si="84"/>
        <v>8.1236955665975937E-3</v>
      </c>
      <c r="G110" s="559">
        <v>3500</v>
      </c>
      <c r="H110" s="560"/>
      <c r="I110" s="159">
        <f t="shared" si="85"/>
        <v>32.874879999999571</v>
      </c>
      <c r="J110" s="189">
        <v>0</v>
      </c>
      <c r="K110" s="58"/>
      <c r="L110" s="58"/>
      <c r="M110" s="59"/>
      <c r="O110" s="318">
        <f>+O100/G112</f>
        <v>60.982080679405506</v>
      </c>
      <c r="R110" s="46"/>
    </row>
    <row r="111" spans="1:18" ht="15.75" customHeight="1" x14ac:dyDescent="0.25">
      <c r="A111" s="11">
        <v>11</v>
      </c>
      <c r="B111" s="572" t="s">
        <v>68</v>
      </c>
      <c r="C111" s="572"/>
      <c r="D111" s="190" t="s">
        <v>62</v>
      </c>
      <c r="E111" s="63">
        <v>6.4000000000000001E-2</v>
      </c>
      <c r="F111" s="57">
        <f t="shared" si="84"/>
        <v>5.774787019912804E-2</v>
      </c>
      <c r="G111" s="559">
        <v>24880</v>
      </c>
      <c r="H111" s="560"/>
      <c r="I111" s="159">
        <f t="shared" si="85"/>
        <v>2693.6575999999936</v>
      </c>
      <c r="J111" s="189">
        <v>0</v>
      </c>
      <c r="K111" s="58"/>
      <c r="L111" s="58"/>
      <c r="M111" s="59"/>
      <c r="O111" s="45"/>
      <c r="R111" s="46"/>
    </row>
    <row r="112" spans="1:18" ht="15.75" customHeight="1" x14ac:dyDescent="0.25">
      <c r="A112" s="11">
        <v>12</v>
      </c>
      <c r="B112" s="572" t="s">
        <v>69</v>
      </c>
      <c r="C112" s="572"/>
      <c r="D112" s="190" t="s">
        <v>62</v>
      </c>
      <c r="E112" s="158">
        <v>1.5900000000000001E-2</v>
      </c>
      <c r="F112" s="66">
        <f t="shared" si="84"/>
        <v>1.6398259765146285E-2</v>
      </c>
      <c r="G112" s="559">
        <v>7065</v>
      </c>
      <c r="H112" s="560"/>
      <c r="I112" s="159">
        <f t="shared" si="85"/>
        <v>-214.66944000000072</v>
      </c>
      <c r="J112" s="189">
        <f>+(F112-E112)*$O$100</f>
        <v>214.66944000000072</v>
      </c>
      <c r="K112" s="573" t="s">
        <v>317</v>
      </c>
      <c r="L112" s="573"/>
      <c r="M112" s="59"/>
      <c r="N112" s="64"/>
      <c r="O112" s="45"/>
      <c r="R112" s="46"/>
    </row>
    <row r="113" spans="1:18" ht="29.25" customHeight="1" x14ac:dyDescent="0.25">
      <c r="A113" s="11">
        <v>13</v>
      </c>
      <c r="B113" s="572" t="s">
        <v>71</v>
      </c>
      <c r="C113" s="572"/>
      <c r="D113" s="190" t="s">
        <v>56</v>
      </c>
      <c r="E113" s="63">
        <v>4.3999999999999997E-2</v>
      </c>
      <c r="F113" s="57">
        <f t="shared" si="84"/>
        <v>3.7717157987774544E-2</v>
      </c>
      <c r="G113" s="574">
        <v>16250</v>
      </c>
      <c r="H113" s="575"/>
      <c r="I113" s="159">
        <f t="shared" si="85"/>
        <v>2706.8895999999941</v>
      </c>
      <c r="J113" s="189">
        <v>0</v>
      </c>
      <c r="K113" s="561"/>
      <c r="L113" s="576"/>
      <c r="M113" s="577"/>
      <c r="O113" s="45"/>
      <c r="R113" s="46"/>
    </row>
    <row r="114" spans="1:18" ht="15.75" hidden="1" customHeight="1" x14ac:dyDescent="0.25">
      <c r="A114" s="11">
        <v>13</v>
      </c>
      <c r="B114" s="638" t="s">
        <v>72</v>
      </c>
      <c r="C114" s="639"/>
      <c r="D114" s="190" t="s">
        <v>56</v>
      </c>
      <c r="E114" s="158"/>
      <c r="F114" s="51">
        <f t="shared" si="84"/>
        <v>0</v>
      </c>
      <c r="G114" s="574"/>
      <c r="H114" s="575"/>
      <c r="I114" s="52">
        <f t="shared" si="85"/>
        <v>0</v>
      </c>
      <c r="J114" s="189">
        <v>0</v>
      </c>
      <c r="K114" s="67"/>
      <c r="L114" s="67"/>
      <c r="M114" s="68"/>
      <c r="O114" s="45"/>
      <c r="R114" s="46"/>
    </row>
    <row r="115" spans="1:18" ht="18.75" customHeight="1" x14ac:dyDescent="0.25">
      <c r="A115" s="1" t="s">
        <v>90</v>
      </c>
      <c r="B115" s="7"/>
      <c r="C115" s="7"/>
      <c r="D115" s="7"/>
      <c r="E115" s="7"/>
      <c r="F115" s="7"/>
      <c r="G115" s="7"/>
      <c r="J115" s="7"/>
      <c r="K115" s="7"/>
      <c r="L115" s="7"/>
      <c r="M115" s="7"/>
    </row>
    <row r="116" spans="1:18" ht="18" customHeight="1" x14ac:dyDescent="0.25">
      <c r="A116" s="593" t="s">
        <v>91</v>
      </c>
      <c r="B116" s="594"/>
      <c r="C116" s="595"/>
      <c r="D116" s="181" t="s">
        <v>92</v>
      </c>
      <c r="E116" s="181" t="s">
        <v>93</v>
      </c>
      <c r="F116" s="181" t="s">
        <v>94</v>
      </c>
      <c r="G116" s="181" t="s">
        <v>95</v>
      </c>
      <c r="H116" s="527" t="s">
        <v>227</v>
      </c>
      <c r="I116" s="527"/>
      <c r="J116" s="181" t="s">
        <v>97</v>
      </c>
      <c r="K116" s="593" t="s">
        <v>35</v>
      </c>
      <c r="L116" s="594"/>
      <c r="M116" s="595"/>
      <c r="N116" s="160"/>
      <c r="P116">
        <f>14*3</f>
        <v>42</v>
      </c>
    </row>
    <row r="117" spans="1:18" ht="18" customHeight="1" x14ac:dyDescent="0.25">
      <c r="A117" s="186">
        <v>1</v>
      </c>
      <c r="B117" s="596" t="s">
        <v>187</v>
      </c>
      <c r="C117" s="596"/>
      <c r="D117" s="187">
        <v>3</v>
      </c>
      <c r="E117" s="187">
        <v>3</v>
      </c>
      <c r="F117" s="187"/>
      <c r="G117" s="92"/>
      <c r="H117" s="603"/>
      <c r="I117" s="603"/>
      <c r="J117" s="187">
        <f>+E117+F117-G117-H117</f>
        <v>3</v>
      </c>
      <c r="K117" s="593"/>
      <c r="L117" s="594"/>
      <c r="M117" s="595"/>
    </row>
    <row r="118" spans="1:18" ht="18" customHeight="1" x14ac:dyDescent="0.25">
      <c r="A118" s="186">
        <v>2</v>
      </c>
      <c r="B118" s="596" t="s">
        <v>99</v>
      </c>
      <c r="C118" s="596"/>
      <c r="D118" s="187">
        <v>5</v>
      </c>
      <c r="E118" s="187">
        <v>5</v>
      </c>
      <c r="F118" s="52"/>
      <c r="G118" s="93"/>
      <c r="H118" s="604">
        <v>0</v>
      </c>
      <c r="I118" s="604"/>
      <c r="J118" s="187">
        <f t="shared" ref="J118:J123" si="86">+E118+F118-G118-H118</f>
        <v>5</v>
      </c>
      <c r="K118" s="593"/>
      <c r="L118" s="594"/>
      <c r="M118" s="595"/>
    </row>
    <row r="119" spans="1:18" ht="18" customHeight="1" x14ac:dyDescent="0.25">
      <c r="A119" s="186">
        <v>3</v>
      </c>
      <c r="B119" s="596" t="s">
        <v>100</v>
      </c>
      <c r="C119" s="596"/>
      <c r="D119" s="187">
        <v>25</v>
      </c>
      <c r="E119" s="187">
        <v>25</v>
      </c>
      <c r="F119" s="187"/>
      <c r="G119" s="187">
        <v>0</v>
      </c>
      <c r="H119" s="597"/>
      <c r="I119" s="597"/>
      <c r="J119" s="187">
        <f>+E119+H119</f>
        <v>25</v>
      </c>
      <c r="K119" s="593"/>
      <c r="L119" s="594"/>
      <c r="M119" s="595"/>
    </row>
    <row r="120" spans="1:18" ht="18" customHeight="1" x14ac:dyDescent="0.25">
      <c r="A120" s="186">
        <v>4</v>
      </c>
      <c r="B120" s="596" t="s">
        <v>101</v>
      </c>
      <c r="C120" s="596"/>
      <c r="D120" s="187">
        <v>27</v>
      </c>
      <c r="E120" s="187">
        <v>28</v>
      </c>
      <c r="F120" s="187"/>
      <c r="G120" s="92"/>
      <c r="H120" s="598"/>
      <c r="I120" s="599"/>
      <c r="J120" s="187">
        <f>+E120-H120</f>
        <v>28</v>
      </c>
      <c r="K120" s="600"/>
      <c r="L120" s="601"/>
      <c r="M120" s="602"/>
    </row>
    <row r="121" spans="1:18" ht="18" customHeight="1" x14ac:dyDescent="0.25">
      <c r="A121" s="186">
        <v>5</v>
      </c>
      <c r="B121" s="596" t="s">
        <v>102</v>
      </c>
      <c r="C121" s="596"/>
      <c r="D121" s="187">
        <v>43</v>
      </c>
      <c r="E121" s="187">
        <v>36</v>
      </c>
      <c r="F121" s="187"/>
      <c r="G121" s="92">
        <v>5</v>
      </c>
      <c r="H121" s="607">
        <v>2</v>
      </c>
      <c r="I121" s="607"/>
      <c r="J121" s="187">
        <f>+E121+F121-G121-H121</f>
        <v>29</v>
      </c>
      <c r="K121" s="593"/>
      <c r="L121" s="594"/>
      <c r="M121" s="595"/>
    </row>
    <row r="122" spans="1:18" ht="18" customHeight="1" x14ac:dyDescent="0.25">
      <c r="A122" s="186">
        <v>6</v>
      </c>
      <c r="B122" s="596" t="s">
        <v>103</v>
      </c>
      <c r="C122" s="596"/>
      <c r="D122" s="187">
        <v>6</v>
      </c>
      <c r="E122" s="187">
        <v>6</v>
      </c>
      <c r="F122" s="187"/>
      <c r="G122" s="187"/>
      <c r="H122" s="597"/>
      <c r="I122" s="597"/>
      <c r="J122" s="187">
        <f t="shared" si="86"/>
        <v>6</v>
      </c>
      <c r="K122" s="593"/>
      <c r="L122" s="594"/>
      <c r="M122" s="595"/>
    </row>
    <row r="123" spans="1:18" ht="18" customHeight="1" x14ac:dyDescent="0.25">
      <c r="A123" s="186">
        <v>7</v>
      </c>
      <c r="B123" s="596" t="s">
        <v>104</v>
      </c>
      <c r="C123" s="596"/>
      <c r="D123" s="187">
        <v>1</v>
      </c>
      <c r="E123" s="187">
        <v>1</v>
      </c>
      <c r="F123" s="187"/>
      <c r="G123" s="92"/>
      <c r="H123" s="597"/>
      <c r="I123" s="597"/>
      <c r="J123" s="187">
        <f t="shared" si="86"/>
        <v>1</v>
      </c>
      <c r="K123" s="593"/>
      <c r="L123" s="594"/>
      <c r="M123" s="595"/>
    </row>
    <row r="124" spans="1:18" ht="18" customHeight="1" x14ac:dyDescent="0.25">
      <c r="A124" s="593" t="s">
        <v>105</v>
      </c>
      <c r="B124" s="594"/>
      <c r="C124" s="595"/>
      <c r="D124" s="94">
        <f>SUM(D117:D123)</f>
        <v>110</v>
      </c>
      <c r="E124" s="94">
        <f>SUM(E117:E123)</f>
        <v>104</v>
      </c>
      <c r="F124" s="95">
        <f t="shared" ref="F124:H124" si="87">SUM(F117:F123)</f>
        <v>0</v>
      </c>
      <c r="G124" s="96">
        <f t="shared" si="87"/>
        <v>5</v>
      </c>
      <c r="H124" s="605">
        <f t="shared" si="87"/>
        <v>2</v>
      </c>
      <c r="I124" s="606"/>
      <c r="J124" s="94">
        <f>SUM(J117:J123)</f>
        <v>97</v>
      </c>
      <c r="K124" s="593"/>
      <c r="L124" s="594"/>
      <c r="M124" s="595"/>
    </row>
    <row r="125" spans="1:18" ht="18.75" customHeight="1" x14ac:dyDescent="0.25">
      <c r="A125" s="88" t="s">
        <v>318</v>
      </c>
      <c r="B125" s="177"/>
      <c r="C125" s="177"/>
      <c r="D125" s="98"/>
      <c r="E125" s="98"/>
      <c r="F125" s="99"/>
      <c r="G125" s="100"/>
      <c r="H125" s="101"/>
      <c r="I125" s="101"/>
      <c r="J125" s="98"/>
      <c r="K125" s="177"/>
      <c r="L125" s="177"/>
      <c r="M125" s="177"/>
    </row>
    <row r="126" spans="1:18" ht="31.5" customHeight="1" x14ac:dyDescent="0.25">
      <c r="A126" s="102"/>
      <c r="B126" s="185" t="s">
        <v>47</v>
      </c>
      <c r="C126" s="608" t="s">
        <v>107</v>
      </c>
      <c r="D126" s="608"/>
      <c r="E126" s="185" t="s">
        <v>108</v>
      </c>
      <c r="F126" s="185" t="s">
        <v>109</v>
      </c>
      <c r="G126" s="185" t="s">
        <v>110</v>
      </c>
      <c r="H126" s="608" t="s">
        <v>111</v>
      </c>
      <c r="I126" s="608"/>
      <c r="J126" s="608" t="s">
        <v>112</v>
      </c>
      <c r="K126" s="608"/>
      <c r="L126" s="608"/>
      <c r="M126" s="608"/>
      <c r="N126" s="161"/>
    </row>
    <row r="127" spans="1:18" ht="16.5" customHeight="1" x14ac:dyDescent="0.25">
      <c r="A127" s="609"/>
      <c r="B127" s="646">
        <v>1</v>
      </c>
      <c r="C127" s="610" t="s">
        <v>229</v>
      </c>
      <c r="D127" s="611"/>
      <c r="E127" s="67" t="s">
        <v>319</v>
      </c>
      <c r="F127" s="106" t="s">
        <v>234</v>
      </c>
      <c r="G127" s="162">
        <v>128</v>
      </c>
      <c r="H127" s="612" t="s">
        <v>235</v>
      </c>
      <c r="I127" s="613"/>
      <c r="J127" s="614"/>
      <c r="K127" s="614"/>
      <c r="L127" s="614"/>
      <c r="M127" s="614"/>
    </row>
    <row r="128" spans="1:18" ht="16.5" customHeight="1" x14ac:dyDescent="0.25">
      <c r="A128" s="609"/>
      <c r="B128" s="647"/>
      <c r="C128" s="617"/>
      <c r="D128" s="618"/>
      <c r="E128" s="67" t="s">
        <v>319</v>
      </c>
      <c r="F128" s="106">
        <v>46117</v>
      </c>
      <c r="G128" s="162">
        <v>448</v>
      </c>
      <c r="H128" s="612" t="s">
        <v>320</v>
      </c>
      <c r="I128" s="613"/>
      <c r="J128" s="612"/>
      <c r="K128" s="659"/>
      <c r="L128" s="659"/>
      <c r="M128" s="613"/>
    </row>
    <row r="129" spans="1:17" ht="18" customHeight="1" x14ac:dyDescent="0.25">
      <c r="A129" s="620" t="s">
        <v>321</v>
      </c>
      <c r="B129" s="621"/>
      <c r="C129" s="621"/>
      <c r="D129" s="621"/>
      <c r="E129" s="621"/>
      <c r="F129" s="622"/>
      <c r="G129" s="164">
        <f>SUM(G127:G128)</f>
        <v>576</v>
      </c>
      <c r="H129" s="623"/>
      <c r="I129" s="623"/>
      <c r="J129" s="623"/>
      <c r="K129" s="623"/>
      <c r="L129" s="623"/>
      <c r="M129" s="623"/>
    </row>
    <row r="130" spans="1:17" ht="17.25" customHeight="1" x14ac:dyDescent="0.25">
      <c r="A130" s="1" t="s">
        <v>322</v>
      </c>
      <c r="B130" s="7"/>
      <c r="C130" s="7"/>
      <c r="D130" s="7"/>
      <c r="E130" s="7"/>
      <c r="F130" s="7"/>
      <c r="G130" s="7"/>
      <c r="H130" s="110"/>
      <c r="I130" s="111"/>
      <c r="J130" s="7"/>
      <c r="K130" s="7"/>
      <c r="L130" s="7"/>
      <c r="M130" s="7"/>
    </row>
    <row r="131" spans="1:17" ht="17.25" customHeight="1" x14ac:dyDescent="0.25">
      <c r="A131" s="1" t="s">
        <v>323</v>
      </c>
      <c r="B131" s="7"/>
      <c r="C131" s="7"/>
      <c r="D131" s="7"/>
      <c r="E131" s="7"/>
      <c r="F131" s="7"/>
      <c r="G131" s="7"/>
      <c r="H131" s="110"/>
      <c r="I131" s="111"/>
      <c r="J131" s="7"/>
      <c r="K131" s="7"/>
      <c r="L131" s="7"/>
      <c r="M131" s="7"/>
    </row>
    <row r="132" spans="1:17" ht="21.75" hidden="1" customHeight="1" x14ac:dyDescent="0.25">
      <c r="A132" s="640" t="s">
        <v>242</v>
      </c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</row>
    <row r="133" spans="1:17" ht="21.75" hidden="1" customHeight="1" x14ac:dyDescent="0.25">
      <c r="A133" s="641"/>
      <c r="B133" s="641"/>
      <c r="C133" s="641"/>
      <c r="D133" s="641"/>
      <c r="E133" s="641"/>
      <c r="F133" s="641"/>
      <c r="G133" s="641"/>
      <c r="H133" s="641"/>
      <c r="I133" s="641"/>
      <c r="J133" s="641"/>
      <c r="K133" s="641"/>
      <c r="L133" s="641"/>
      <c r="M133" s="641"/>
    </row>
    <row r="134" spans="1:17" ht="25.5" customHeight="1" x14ac:dyDescent="0.25">
      <c r="A134" s="624" t="s">
        <v>6</v>
      </c>
      <c r="B134" s="625"/>
      <c r="C134" s="524" t="s">
        <v>138</v>
      </c>
      <c r="D134" s="542" t="s">
        <v>8</v>
      </c>
      <c r="E134" s="542"/>
      <c r="F134" s="542"/>
      <c r="G134" s="626" t="s">
        <v>139</v>
      </c>
      <c r="H134" s="627" t="s">
        <v>140</v>
      </c>
      <c r="I134" s="183" t="s">
        <v>141</v>
      </c>
      <c r="J134" s="178" t="s">
        <v>12</v>
      </c>
      <c r="K134" s="178" t="s">
        <v>13</v>
      </c>
      <c r="L134" s="178" t="s">
        <v>14</v>
      </c>
      <c r="M134" s="182" t="s">
        <v>142</v>
      </c>
      <c r="N134" s="166"/>
    </row>
    <row r="135" spans="1:17" ht="20.25" customHeight="1" x14ac:dyDescent="0.25">
      <c r="A135" s="178" t="s">
        <v>143</v>
      </c>
      <c r="B135" s="178" t="s">
        <v>17</v>
      </c>
      <c r="C135" s="527"/>
      <c r="D135" s="178" t="s">
        <v>18</v>
      </c>
      <c r="E135" s="178" t="s">
        <v>19</v>
      </c>
      <c r="F135" s="178" t="s">
        <v>20</v>
      </c>
      <c r="G135" s="626"/>
      <c r="H135" s="628"/>
      <c r="I135" s="183" t="s">
        <v>144</v>
      </c>
      <c r="J135" s="178"/>
      <c r="K135" s="178" t="s">
        <v>22</v>
      </c>
      <c r="L135" s="178" t="s">
        <v>23</v>
      </c>
      <c r="M135" s="178" t="s">
        <v>24</v>
      </c>
    </row>
    <row r="136" spans="1:17" ht="16.5" hidden="1" customHeight="1" x14ac:dyDescent="0.25">
      <c r="A136" s="542" t="s">
        <v>146</v>
      </c>
      <c r="B136" s="25" t="s">
        <v>21</v>
      </c>
      <c r="C136" s="121">
        <f>+G136*100/J137</f>
        <v>0</v>
      </c>
      <c r="D136" s="117">
        <f>+G136*D137/100</f>
        <v>0</v>
      </c>
      <c r="E136" s="117">
        <f>+G136*E137/100</f>
        <v>0</v>
      </c>
      <c r="F136" s="117">
        <f>+G136*F137/100</f>
        <v>0</v>
      </c>
      <c r="G136" s="117">
        <f>+I136*H136</f>
        <v>0</v>
      </c>
      <c r="H136" s="184"/>
      <c r="I136" s="17">
        <f>10.9*0.96*1400*0.98</f>
        <v>14356.608</v>
      </c>
      <c r="J136" s="119"/>
      <c r="K136" s="600">
        <v>4395</v>
      </c>
      <c r="L136" s="602"/>
      <c r="M136" s="119"/>
    </row>
    <row r="137" spans="1:17" ht="16.5" hidden="1" customHeight="1" x14ac:dyDescent="0.25">
      <c r="A137" s="542"/>
      <c r="B137" s="25" t="s">
        <v>26</v>
      </c>
      <c r="C137" s="121"/>
      <c r="D137" s="21">
        <v>90</v>
      </c>
      <c r="E137" s="21">
        <v>7</v>
      </c>
      <c r="F137" s="21">
        <v>3</v>
      </c>
      <c r="G137" s="21">
        <v>100</v>
      </c>
      <c r="H137" s="122"/>
      <c r="I137" s="123"/>
      <c r="J137" s="184">
        <v>98</v>
      </c>
      <c r="K137" s="629">
        <f>100-J137</f>
        <v>2</v>
      </c>
      <c r="L137" s="629"/>
      <c r="M137" s="120">
        <v>40</v>
      </c>
    </row>
    <row r="138" spans="1:17" ht="16.5" customHeight="1" x14ac:dyDescent="0.25">
      <c r="A138" s="542" t="s">
        <v>145</v>
      </c>
      <c r="B138" s="25" t="s">
        <v>21</v>
      </c>
      <c r="C138" s="121">
        <f>+G138*100/J139</f>
        <v>436170</v>
      </c>
      <c r="D138" s="117">
        <f>+G138*D139/100</f>
        <v>401799.80400000006</v>
      </c>
      <c r="E138" s="117">
        <f>+G138*E139/100</f>
        <v>12823.398000000001</v>
      </c>
      <c r="F138" s="117">
        <f>+G138*F139/100</f>
        <v>12823.398000000001</v>
      </c>
      <c r="G138" s="117">
        <f>+I138*H138</f>
        <v>427446.60000000003</v>
      </c>
      <c r="H138" s="313">
        <v>31</v>
      </c>
      <c r="I138" s="17">
        <f>21*0.5*1340*0.98</f>
        <v>13788.6</v>
      </c>
      <c r="J138" s="119"/>
      <c r="K138" s="600">
        <v>4080</v>
      </c>
      <c r="L138" s="602"/>
      <c r="M138" s="119"/>
    </row>
    <row r="139" spans="1:17" ht="16.5" customHeight="1" x14ac:dyDescent="0.25">
      <c r="A139" s="542"/>
      <c r="B139" s="25" t="s">
        <v>26</v>
      </c>
      <c r="C139" s="121"/>
      <c r="D139" s="21">
        <v>94</v>
      </c>
      <c r="E139" s="21">
        <v>3</v>
      </c>
      <c r="F139" s="21">
        <v>3</v>
      </c>
      <c r="G139" s="21">
        <v>100</v>
      </c>
      <c r="H139" s="122"/>
      <c r="I139" s="123"/>
      <c r="J139" s="184">
        <v>98</v>
      </c>
      <c r="K139" s="629">
        <f>100-J139</f>
        <v>2</v>
      </c>
      <c r="L139" s="629"/>
      <c r="M139" s="120">
        <v>100</v>
      </c>
    </row>
    <row r="140" spans="1:17" ht="16.5" customHeight="1" x14ac:dyDescent="0.25">
      <c r="A140" s="542" t="s">
        <v>147</v>
      </c>
      <c r="B140" s="25" t="s">
        <v>21</v>
      </c>
      <c r="C140" s="121">
        <f>+C136+C138</f>
        <v>436170</v>
      </c>
      <c r="D140" s="121">
        <f t="shared" ref="D140:H140" si="88">+D136+D138</f>
        <v>401799.80400000006</v>
      </c>
      <c r="E140" s="121">
        <f t="shared" si="88"/>
        <v>12823.398000000001</v>
      </c>
      <c r="F140" s="121">
        <f t="shared" si="88"/>
        <v>12823.398000000001</v>
      </c>
      <c r="G140" s="121">
        <f t="shared" si="88"/>
        <v>427446.60000000003</v>
      </c>
      <c r="H140" s="173">
        <f t="shared" si="88"/>
        <v>31</v>
      </c>
      <c r="I140" s="121">
        <f>+G140/H140</f>
        <v>13788.6</v>
      </c>
      <c r="J140" s="123"/>
      <c r="K140" s="119"/>
      <c r="L140" s="120"/>
      <c r="M140" s="120"/>
    </row>
    <row r="141" spans="1:17" ht="16.5" customHeight="1" x14ac:dyDescent="0.25">
      <c r="A141" s="542"/>
      <c r="B141" s="25" t="s">
        <v>26</v>
      </c>
      <c r="C141" s="105"/>
      <c r="D141" s="125">
        <f>+D140/G140*100</f>
        <v>94</v>
      </c>
      <c r="E141" s="125">
        <f>+E140/G140*100</f>
        <v>3</v>
      </c>
      <c r="F141" s="125">
        <f>+F140/G140*100</f>
        <v>3</v>
      </c>
      <c r="G141" s="21">
        <v>100</v>
      </c>
      <c r="H141" s="122"/>
      <c r="I141" s="122"/>
      <c r="J141" s="184"/>
      <c r="K141" s="629"/>
      <c r="L141" s="629"/>
      <c r="M141" s="67"/>
    </row>
    <row r="142" spans="1:17" ht="16.5" customHeight="1" x14ac:dyDescent="0.25">
      <c r="A142" s="112" t="s">
        <v>324</v>
      </c>
      <c r="B142" s="8"/>
      <c r="C142" s="7"/>
      <c r="D142" s="7"/>
      <c r="E142" s="7"/>
      <c r="F142" s="7"/>
      <c r="G142" s="7"/>
      <c r="J142" s="7"/>
      <c r="K142" s="7"/>
      <c r="L142" s="7"/>
      <c r="M142" s="7"/>
    </row>
    <row r="143" spans="1:17" ht="27.75" customHeight="1" x14ac:dyDescent="0.25">
      <c r="A143" s="624" t="s">
        <v>6</v>
      </c>
      <c r="B143" s="625"/>
      <c r="C143" s="524" t="s">
        <v>138</v>
      </c>
      <c r="D143" s="542" t="s">
        <v>8</v>
      </c>
      <c r="E143" s="542"/>
      <c r="F143" s="542"/>
      <c r="G143" s="626" t="s">
        <v>139</v>
      </c>
      <c r="H143" s="627" t="s">
        <v>149</v>
      </c>
      <c r="I143" s="126" t="s">
        <v>141</v>
      </c>
      <c r="J143" s="628" t="s">
        <v>12</v>
      </c>
      <c r="K143" s="178" t="s">
        <v>13</v>
      </c>
      <c r="L143" s="178" t="s">
        <v>14</v>
      </c>
      <c r="M143" s="182" t="s">
        <v>142</v>
      </c>
    </row>
    <row r="144" spans="1:17" ht="17.25" customHeight="1" x14ac:dyDescent="0.25">
      <c r="A144" s="178" t="s">
        <v>151</v>
      </c>
      <c r="B144" s="178" t="s">
        <v>17</v>
      </c>
      <c r="C144" s="527"/>
      <c r="D144" s="178" t="s">
        <v>18</v>
      </c>
      <c r="E144" s="178" t="s">
        <v>19</v>
      </c>
      <c r="F144" s="178" t="s">
        <v>20</v>
      </c>
      <c r="G144" s="542"/>
      <c r="H144" s="627"/>
      <c r="I144" s="183" t="s">
        <v>144</v>
      </c>
      <c r="J144" s="628"/>
      <c r="K144" s="178" t="s">
        <v>22</v>
      </c>
      <c r="L144" s="178" t="s">
        <v>23</v>
      </c>
      <c r="M144" s="178" t="s">
        <v>24</v>
      </c>
      <c r="Q144">
        <f>15410*31</f>
        <v>477710</v>
      </c>
    </row>
    <row r="145" spans="1:18" ht="17.25" hidden="1" customHeight="1" x14ac:dyDescent="0.25">
      <c r="A145" s="542" t="s">
        <v>146</v>
      </c>
      <c r="B145" s="25" t="s">
        <v>21</v>
      </c>
      <c r="C145" s="121">
        <f>+G145*100/J146</f>
        <v>0</v>
      </c>
      <c r="D145" s="127">
        <f t="shared" ref="D145:E145" si="89">+$G$145*D146/100</f>
        <v>0</v>
      </c>
      <c r="E145" s="127">
        <f t="shared" si="89"/>
        <v>0</v>
      </c>
      <c r="F145" s="127">
        <f>+$G$145*F146/100</f>
        <v>0</v>
      </c>
      <c r="G145" s="127">
        <f>+I145*H145</f>
        <v>0</v>
      </c>
      <c r="H145" s="184">
        <v>0</v>
      </c>
      <c r="I145" s="17">
        <f>10.9*0.96*1400*0.982*1.02</f>
        <v>14673.625344</v>
      </c>
      <c r="J145" s="129"/>
      <c r="K145" s="120"/>
      <c r="L145" s="120"/>
      <c r="M145" s="130"/>
      <c r="O145" s="131"/>
      <c r="Q145">
        <f>+Q144/100*98.2</f>
        <v>469111.22000000003</v>
      </c>
    </row>
    <row r="146" spans="1:18" ht="17.25" hidden="1" customHeight="1" x14ac:dyDescent="0.25">
      <c r="A146" s="542"/>
      <c r="B146" s="25" t="s">
        <v>26</v>
      </c>
      <c r="C146" s="105"/>
      <c r="D146" s="21">
        <v>92</v>
      </c>
      <c r="E146" s="21">
        <v>6</v>
      </c>
      <c r="F146" s="21">
        <v>2</v>
      </c>
      <c r="G146" s="21">
        <v>100</v>
      </c>
      <c r="H146" s="129"/>
      <c r="I146" s="128"/>
      <c r="J146" s="179">
        <v>98.2</v>
      </c>
      <c r="K146" s="634">
        <f>100-J146</f>
        <v>1.7999999999999972</v>
      </c>
      <c r="L146" s="634"/>
      <c r="M146" s="134">
        <v>25</v>
      </c>
      <c r="N146" s="131"/>
    </row>
    <row r="147" spans="1:18" ht="17.25" customHeight="1" x14ac:dyDescent="0.25">
      <c r="A147" s="542" t="s">
        <v>145</v>
      </c>
      <c r="B147" s="25" t="s">
        <v>21</v>
      </c>
      <c r="C147" s="121">
        <f>+G147*100/J148</f>
        <v>444893.4</v>
      </c>
      <c r="D147" s="127">
        <f>+$G$147*D148/100</f>
        <v>419409.90604800003</v>
      </c>
      <c r="E147" s="127">
        <f t="shared" ref="E147:F147" si="90">+$G$147*E148/100</f>
        <v>8737.7063760000001</v>
      </c>
      <c r="F147" s="127">
        <f t="shared" si="90"/>
        <v>8737.7063760000001</v>
      </c>
      <c r="G147" s="127">
        <f>+I147*H147</f>
        <v>436885.31880000001</v>
      </c>
      <c r="H147" s="313">
        <v>31</v>
      </c>
      <c r="I147" s="17">
        <f>21*0.5*1340*0.982*1.02</f>
        <v>14093.0748</v>
      </c>
      <c r="J147" s="129"/>
      <c r="K147" s="120"/>
      <c r="L147" s="120"/>
      <c r="M147" s="130"/>
      <c r="O147" s="131"/>
      <c r="Q147">
        <f>+Q146/100*98.2</f>
        <v>0</v>
      </c>
    </row>
    <row r="148" spans="1:18" ht="17.25" customHeight="1" x14ac:dyDescent="0.25">
      <c r="A148" s="542"/>
      <c r="B148" s="25" t="s">
        <v>26</v>
      </c>
      <c r="C148" s="105"/>
      <c r="D148" s="21">
        <v>96</v>
      </c>
      <c r="E148" s="21">
        <v>2</v>
      </c>
      <c r="F148" s="21">
        <v>2</v>
      </c>
      <c r="G148" s="21">
        <v>100</v>
      </c>
      <c r="H148" s="129"/>
      <c r="I148" s="128"/>
      <c r="J148" s="179">
        <v>98.2</v>
      </c>
      <c r="K148" s="634">
        <f>100-J148</f>
        <v>1.7999999999999972</v>
      </c>
      <c r="L148" s="634"/>
      <c r="M148" s="134">
        <v>80</v>
      </c>
      <c r="N148" s="131"/>
    </row>
    <row r="149" spans="1:18" ht="17.25" customHeight="1" x14ac:dyDescent="0.25">
      <c r="A149" s="542" t="s">
        <v>147</v>
      </c>
      <c r="B149" s="25" t="s">
        <v>21</v>
      </c>
      <c r="C149" s="127">
        <f>+C147+C145</f>
        <v>444893.4</v>
      </c>
      <c r="D149" s="127">
        <f t="shared" ref="D149:G149" si="91">+D147+D145</f>
        <v>419409.90604800003</v>
      </c>
      <c r="E149" s="127">
        <f t="shared" si="91"/>
        <v>8737.7063760000001</v>
      </c>
      <c r="F149" s="127">
        <f t="shared" si="91"/>
        <v>8737.7063760000001</v>
      </c>
      <c r="G149" s="127">
        <f t="shared" si="91"/>
        <v>436885.31880000001</v>
      </c>
      <c r="H149" s="174">
        <f>+H147+H145</f>
        <v>31</v>
      </c>
      <c r="I149" s="127">
        <f>+G149/H149</f>
        <v>14093.0748</v>
      </c>
      <c r="J149" s="129"/>
      <c r="K149" s="129"/>
      <c r="L149" s="129"/>
      <c r="M149" s="130"/>
    </row>
    <row r="150" spans="1:18" ht="17.25" customHeight="1" x14ac:dyDescent="0.25">
      <c r="A150" s="542"/>
      <c r="B150" s="25" t="s">
        <v>26</v>
      </c>
      <c r="C150" s="105"/>
      <c r="D150" s="135">
        <f>+D149/G149</f>
        <v>0.96000000000000008</v>
      </c>
      <c r="E150" s="136">
        <f>+E149/G149</f>
        <v>0.02</v>
      </c>
      <c r="F150" s="135">
        <f>+F149/G149</f>
        <v>0.02</v>
      </c>
      <c r="G150" s="21">
        <v>100</v>
      </c>
      <c r="H150" s="129"/>
      <c r="I150" s="129"/>
      <c r="J150" s="179"/>
      <c r="K150" s="634"/>
      <c r="L150" s="634"/>
      <c r="M150" s="58"/>
    </row>
    <row r="151" spans="1:18" ht="6" customHeight="1" x14ac:dyDescent="0.25">
      <c r="A151" s="7"/>
      <c r="B151" s="7"/>
      <c r="C151" s="7"/>
      <c r="D151" s="7"/>
      <c r="E151" s="7"/>
      <c r="F151" s="7"/>
      <c r="G151" s="7"/>
      <c r="J151" s="7"/>
      <c r="K151" s="7"/>
      <c r="L151" s="7"/>
      <c r="M151" s="7"/>
    </row>
    <row r="152" spans="1:18" ht="17.25" customHeight="1" x14ac:dyDescent="0.25">
      <c r="A152" s="1" t="s">
        <v>325</v>
      </c>
      <c r="B152" s="7"/>
      <c r="C152" s="7"/>
      <c r="D152" s="7"/>
      <c r="E152" s="7"/>
      <c r="F152" s="7"/>
      <c r="G152" s="7"/>
      <c r="J152" s="7"/>
      <c r="K152" s="7"/>
      <c r="L152" s="7"/>
      <c r="M152" s="7"/>
    </row>
    <row r="153" spans="1:18" ht="19.5" customHeight="1" x14ac:dyDescent="0.25">
      <c r="A153" s="285" t="s">
        <v>326</v>
      </c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N153" s="46"/>
      <c r="R153">
        <f>94+91</f>
        <v>185</v>
      </c>
    </row>
    <row r="154" spans="1:18" ht="19.5" customHeight="1" x14ac:dyDescent="0.25">
      <c r="A154" s="319" t="s">
        <v>327</v>
      </c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R154">
        <f>+R153/2</f>
        <v>92.5</v>
      </c>
    </row>
    <row r="155" spans="1:18" ht="17.25" hidden="1" customHeight="1" x14ac:dyDescent="0.25">
      <c r="A155" s="175" t="s">
        <v>328</v>
      </c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Q155" t="e">
        <v>#REF!</v>
      </c>
    </row>
    <row r="156" spans="1:18" ht="17.25" customHeight="1" x14ac:dyDescent="0.25">
      <c r="A156" s="1" t="s">
        <v>154</v>
      </c>
      <c r="B156" s="7"/>
      <c r="C156" s="7"/>
      <c r="D156" s="7"/>
      <c r="E156" s="7"/>
      <c r="F156" s="7"/>
      <c r="G156" s="7"/>
      <c r="J156" s="7"/>
      <c r="K156" s="7"/>
      <c r="L156" s="7"/>
      <c r="M156" s="7"/>
    </row>
    <row r="157" spans="1:18" ht="17.25" customHeight="1" x14ac:dyDescent="0.25">
      <c r="A157" s="630" t="s">
        <v>246</v>
      </c>
      <c r="B157" s="630"/>
      <c r="C157" s="630"/>
      <c r="D157" s="630"/>
      <c r="E157" s="630"/>
      <c r="F157" s="630"/>
      <c r="G157" s="630"/>
      <c r="H157" s="630"/>
      <c r="I157" s="630"/>
      <c r="J157" s="630"/>
      <c r="K157" s="630"/>
      <c r="L157" s="630"/>
      <c r="M157" s="630"/>
    </row>
    <row r="158" spans="1:18" ht="17.25" customHeight="1" x14ac:dyDescent="0.25">
      <c r="A158" s="631" t="s">
        <v>156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</row>
    <row r="159" spans="1:18" ht="17.25" customHeight="1" x14ac:dyDescent="0.25">
      <c r="A159" s="139" t="s">
        <v>157</v>
      </c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</row>
    <row r="160" spans="1:18" ht="17.25" customHeight="1" x14ac:dyDescent="0.25">
      <c r="A160" s="141" t="s">
        <v>158</v>
      </c>
      <c r="B160" s="7"/>
      <c r="C160" s="7"/>
      <c r="D160" s="7"/>
      <c r="E160" s="7"/>
      <c r="F160" s="7"/>
      <c r="G160" s="7"/>
      <c r="J160" s="632" t="s">
        <v>329</v>
      </c>
      <c r="K160" s="632"/>
      <c r="L160" s="632"/>
      <c r="M160" s="632"/>
    </row>
    <row r="161" spans="1:13" ht="19.5" customHeight="1" x14ac:dyDescent="0.25">
      <c r="A161" s="7"/>
      <c r="B161" s="7"/>
      <c r="C161" s="7"/>
      <c r="D161" s="633" t="s">
        <v>160</v>
      </c>
      <c r="E161" s="633"/>
      <c r="F161" s="7"/>
      <c r="G161" s="7"/>
      <c r="J161" s="7"/>
      <c r="K161" s="1" t="s">
        <v>161</v>
      </c>
      <c r="L161" s="7"/>
      <c r="M161" s="7"/>
    </row>
    <row r="162" spans="1:13" x14ac:dyDescent="0.25">
      <c r="A162" s="141"/>
      <c r="B162" s="7"/>
      <c r="C162" s="7"/>
      <c r="D162" s="7"/>
      <c r="E162" s="7"/>
      <c r="F162" s="7"/>
      <c r="G162" s="7"/>
      <c r="J162" s="7"/>
      <c r="K162" s="7"/>
      <c r="L162" s="7"/>
      <c r="M162" s="7"/>
    </row>
    <row r="163" spans="1:13" x14ac:dyDescent="0.25">
      <c r="A163" s="143" t="s">
        <v>162</v>
      </c>
      <c r="B163" s="7"/>
      <c r="C163" s="7"/>
      <c r="D163" s="7"/>
      <c r="E163" s="7"/>
      <c r="F163" s="7"/>
      <c r="G163" s="7"/>
      <c r="J163" s="7"/>
      <c r="K163" s="7"/>
      <c r="L163" s="7"/>
      <c r="M163" s="7"/>
    </row>
    <row r="164" spans="1:13" x14ac:dyDescent="0.25">
      <c r="A164" s="2" t="s">
        <v>163</v>
      </c>
      <c r="B164" s="7"/>
      <c r="C164" s="7"/>
      <c r="D164" s="7"/>
      <c r="E164" s="7"/>
      <c r="F164" s="7"/>
      <c r="G164" s="7"/>
      <c r="J164" s="7"/>
      <c r="K164" s="7"/>
      <c r="L164" s="7"/>
      <c r="M164" s="7"/>
    </row>
    <row r="165" spans="1:13" x14ac:dyDescent="0.25">
      <c r="A165" s="2" t="s">
        <v>164</v>
      </c>
      <c r="B165" s="7"/>
      <c r="C165" s="7"/>
      <c r="D165" s="7"/>
      <c r="E165" s="7"/>
      <c r="F165" s="7"/>
      <c r="G165" s="7"/>
      <c r="J165" s="7"/>
      <c r="K165" s="7"/>
      <c r="L165" s="7"/>
      <c r="M165" s="7"/>
    </row>
    <row r="166" spans="1:13" x14ac:dyDescent="0.25">
      <c r="A166" s="144" t="s">
        <v>165</v>
      </c>
      <c r="B166" s="7"/>
      <c r="C166" s="7"/>
      <c r="D166" s="7"/>
      <c r="E166" s="7"/>
      <c r="F166" s="7"/>
      <c r="G166" s="7"/>
      <c r="J166" s="632" t="s">
        <v>166</v>
      </c>
      <c r="K166" s="632"/>
      <c r="L166" s="632"/>
      <c r="M166" s="632"/>
    </row>
    <row r="167" spans="1:13" x14ac:dyDescent="0.25">
      <c r="A167" s="2"/>
      <c r="B167" s="7"/>
      <c r="C167" s="7"/>
      <c r="D167" s="7"/>
      <c r="E167" s="7"/>
      <c r="F167" s="7"/>
      <c r="G167" s="7"/>
      <c r="J167" s="7"/>
      <c r="K167" s="632"/>
      <c r="L167" s="632"/>
      <c r="M167" s="7"/>
    </row>
    <row r="168" spans="1:13" x14ac:dyDescent="0.25">
      <c r="A168" s="144"/>
      <c r="B168" s="7"/>
      <c r="C168" s="7"/>
      <c r="D168" s="7"/>
      <c r="E168" s="7"/>
      <c r="F168" s="7"/>
      <c r="G168" s="7"/>
      <c r="J168" s="7"/>
      <c r="K168" s="7"/>
      <c r="L168" s="7"/>
      <c r="M168" s="7"/>
    </row>
    <row r="169" spans="1:13" x14ac:dyDescent="0.25">
      <c r="A169" s="2"/>
      <c r="B169" s="7"/>
      <c r="C169" s="7"/>
      <c r="D169" s="7"/>
      <c r="E169" s="7"/>
      <c r="F169" s="7"/>
      <c r="G169" s="7"/>
      <c r="J169" s="7"/>
      <c r="K169" s="7"/>
      <c r="L169" s="7"/>
      <c r="M169" s="7"/>
    </row>
    <row r="170" spans="1:13" x14ac:dyDescent="0.25">
      <c r="A170" s="145"/>
    </row>
    <row r="171" spans="1:13" x14ac:dyDescent="0.25">
      <c r="A171" s="145"/>
    </row>
    <row r="176" spans="1:13" ht="15.75" x14ac:dyDescent="0.25">
      <c r="A176" s="146"/>
    </row>
    <row r="177" spans="1:1" ht="15.75" x14ac:dyDescent="0.25">
      <c r="A177" s="146"/>
    </row>
    <row r="178" spans="1:1" ht="15.75" x14ac:dyDescent="0.25">
      <c r="A178" s="146"/>
    </row>
    <row r="179" spans="1:1" ht="15.75" x14ac:dyDescent="0.25">
      <c r="A179" s="146"/>
    </row>
    <row r="180" spans="1:1" ht="15.75" x14ac:dyDescent="0.25">
      <c r="A180" s="146"/>
    </row>
    <row r="181" spans="1:1" ht="15.75" x14ac:dyDescent="0.25">
      <c r="A181" s="147"/>
    </row>
  </sheetData>
  <mergeCells count="417">
    <mergeCell ref="A157:M157"/>
    <mergeCell ref="A158:M158"/>
    <mergeCell ref="J160:M160"/>
    <mergeCell ref="D161:E161"/>
    <mergeCell ref="J166:M166"/>
    <mergeCell ref="K167:L167"/>
    <mergeCell ref="A145:A146"/>
    <mergeCell ref="K146:L146"/>
    <mergeCell ref="A147:A148"/>
    <mergeCell ref="K148:L148"/>
    <mergeCell ref="A149:A150"/>
    <mergeCell ref="K150:L150"/>
    <mergeCell ref="A140:A141"/>
    <mergeCell ref="K141:L141"/>
    <mergeCell ref="A143:B143"/>
    <mergeCell ref="C143:C144"/>
    <mergeCell ref="D143:F143"/>
    <mergeCell ref="G143:G144"/>
    <mergeCell ref="H143:H144"/>
    <mergeCell ref="J143:J144"/>
    <mergeCell ref="A136:A137"/>
    <mergeCell ref="K136:L136"/>
    <mergeCell ref="K137:L137"/>
    <mergeCell ref="A138:A139"/>
    <mergeCell ref="K138:L138"/>
    <mergeCell ref="K139:L139"/>
    <mergeCell ref="A129:F129"/>
    <mergeCell ref="H129:M129"/>
    <mergeCell ref="A132:M133"/>
    <mergeCell ref="A134:B134"/>
    <mergeCell ref="C134:C135"/>
    <mergeCell ref="D134:F134"/>
    <mergeCell ref="G134:G135"/>
    <mergeCell ref="H134:H135"/>
    <mergeCell ref="A127:A128"/>
    <mergeCell ref="B127:B128"/>
    <mergeCell ref="C127:D128"/>
    <mergeCell ref="H127:I127"/>
    <mergeCell ref="J127:M127"/>
    <mergeCell ref="H128:I128"/>
    <mergeCell ref="J128:M128"/>
    <mergeCell ref="A124:C124"/>
    <mergeCell ref="H124:I124"/>
    <mergeCell ref="K124:M124"/>
    <mergeCell ref="C126:D126"/>
    <mergeCell ref="H126:I126"/>
    <mergeCell ref="J126:M126"/>
    <mergeCell ref="B122:C122"/>
    <mergeCell ref="H122:I122"/>
    <mergeCell ref="K122:M122"/>
    <mergeCell ref="B123:C123"/>
    <mergeCell ref="H123:I123"/>
    <mergeCell ref="K123:M123"/>
    <mergeCell ref="B120:C120"/>
    <mergeCell ref="H120:I120"/>
    <mergeCell ref="K120:M120"/>
    <mergeCell ref="B121:C121"/>
    <mergeCell ref="H121:I121"/>
    <mergeCell ref="K121:M121"/>
    <mergeCell ref="B118:C118"/>
    <mergeCell ref="H118:I118"/>
    <mergeCell ref="K118:M118"/>
    <mergeCell ref="B119:C119"/>
    <mergeCell ref="H119:I119"/>
    <mergeCell ref="K119:M119"/>
    <mergeCell ref="B114:C114"/>
    <mergeCell ref="G114:H114"/>
    <mergeCell ref="A116:C116"/>
    <mergeCell ref="H116:I116"/>
    <mergeCell ref="K116:M116"/>
    <mergeCell ref="B117:C117"/>
    <mergeCell ref="H117:I117"/>
    <mergeCell ref="K117:M117"/>
    <mergeCell ref="B111:C111"/>
    <mergeCell ref="G111:H111"/>
    <mergeCell ref="B112:C112"/>
    <mergeCell ref="G112:H112"/>
    <mergeCell ref="K112:L112"/>
    <mergeCell ref="B113:C113"/>
    <mergeCell ref="G113:H113"/>
    <mergeCell ref="K113:M113"/>
    <mergeCell ref="B108:C108"/>
    <mergeCell ref="G108:H108"/>
    <mergeCell ref="B109:C109"/>
    <mergeCell ref="G109:H109"/>
    <mergeCell ref="K109:M109"/>
    <mergeCell ref="B110:C110"/>
    <mergeCell ref="G110:H110"/>
    <mergeCell ref="B105:C105"/>
    <mergeCell ref="G105:H105"/>
    <mergeCell ref="B106:C106"/>
    <mergeCell ref="G106:H106"/>
    <mergeCell ref="K106:M106"/>
    <mergeCell ref="B107:C107"/>
    <mergeCell ref="G107:H107"/>
    <mergeCell ref="K107:M107"/>
    <mergeCell ref="B102:C102"/>
    <mergeCell ref="G102:H102"/>
    <mergeCell ref="B103:C103"/>
    <mergeCell ref="G103:H103"/>
    <mergeCell ref="B104:C104"/>
    <mergeCell ref="G104:H104"/>
    <mergeCell ref="A98:M98"/>
    <mergeCell ref="B100:C100"/>
    <mergeCell ref="G100:H100"/>
    <mergeCell ref="K100:M100"/>
    <mergeCell ref="B101:C101"/>
    <mergeCell ref="G101:H101"/>
    <mergeCell ref="K101:M101"/>
    <mergeCell ref="B96:C96"/>
    <mergeCell ref="G96:H96"/>
    <mergeCell ref="K96:L96"/>
    <mergeCell ref="B97:C97"/>
    <mergeCell ref="G97:H97"/>
    <mergeCell ref="K97:M97"/>
    <mergeCell ref="K93:M93"/>
    <mergeCell ref="B94:C94"/>
    <mergeCell ref="G94:H94"/>
    <mergeCell ref="B95:C95"/>
    <mergeCell ref="G95:H95"/>
    <mergeCell ref="K95:L95"/>
    <mergeCell ref="B91:C91"/>
    <mergeCell ref="G91:H91"/>
    <mergeCell ref="B92:C92"/>
    <mergeCell ref="G92:H92"/>
    <mergeCell ref="B93:C93"/>
    <mergeCell ref="G93:H93"/>
    <mergeCell ref="B88:C88"/>
    <mergeCell ref="G88:H88"/>
    <mergeCell ref="B89:C89"/>
    <mergeCell ref="G89:H89"/>
    <mergeCell ref="B90:C90"/>
    <mergeCell ref="G90:H90"/>
    <mergeCell ref="B85:C85"/>
    <mergeCell ref="G85:H85"/>
    <mergeCell ref="K85:M85"/>
    <mergeCell ref="B86:C86"/>
    <mergeCell ref="G86:H86"/>
    <mergeCell ref="B87:C87"/>
    <mergeCell ref="G87:H87"/>
    <mergeCell ref="K87:M87"/>
    <mergeCell ref="B83:C83"/>
    <mergeCell ref="G83:H83"/>
    <mergeCell ref="K83:M83"/>
    <mergeCell ref="B84:C84"/>
    <mergeCell ref="G84:H84"/>
    <mergeCell ref="K84:M84"/>
    <mergeCell ref="A78:A79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L74:M79"/>
    <mergeCell ref="B75:C75"/>
    <mergeCell ref="D75:E75"/>
    <mergeCell ref="F75:G75"/>
    <mergeCell ref="H75:I75"/>
    <mergeCell ref="J75:K75"/>
    <mergeCell ref="J77:K77"/>
    <mergeCell ref="J79:K79"/>
    <mergeCell ref="A74:A75"/>
    <mergeCell ref="B74:C74"/>
    <mergeCell ref="D74:E74"/>
    <mergeCell ref="F74:G74"/>
    <mergeCell ref="H74:I74"/>
    <mergeCell ref="J74:K74"/>
    <mergeCell ref="A76:A77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A72:A73"/>
    <mergeCell ref="B72:I72"/>
    <mergeCell ref="J72:K73"/>
    <mergeCell ref="L72:M73"/>
    <mergeCell ref="B73:C73"/>
    <mergeCell ref="D73:E73"/>
    <mergeCell ref="F73:G73"/>
    <mergeCell ref="H73:I73"/>
    <mergeCell ref="A69:A70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L61:M70"/>
    <mergeCell ref="B62:C62"/>
    <mergeCell ref="D62:E62"/>
    <mergeCell ref="F62:G62"/>
    <mergeCell ref="H62:I62"/>
    <mergeCell ref="J62:K62"/>
    <mergeCell ref="A67:A68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J70:K70"/>
    <mergeCell ref="A61:A62"/>
    <mergeCell ref="B61:C61"/>
    <mergeCell ref="D61:E61"/>
    <mergeCell ref="F61:G61"/>
    <mergeCell ref="H61:I61"/>
    <mergeCell ref="J61:K61"/>
    <mergeCell ref="J57:K57"/>
    <mergeCell ref="A59:A60"/>
    <mergeCell ref="B59:I59"/>
    <mergeCell ref="J59:K60"/>
    <mergeCell ref="A63:A64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A65:A66"/>
    <mergeCell ref="B65:C65"/>
    <mergeCell ref="L59:M60"/>
    <mergeCell ref="B60:C60"/>
    <mergeCell ref="D60:E60"/>
    <mergeCell ref="F60:G60"/>
    <mergeCell ref="H60:I60"/>
    <mergeCell ref="A56:A57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L34:M57"/>
    <mergeCell ref="B35:C35"/>
    <mergeCell ref="D35:E35"/>
    <mergeCell ref="F35:G35"/>
    <mergeCell ref="H35:I35"/>
    <mergeCell ref="J35:K35"/>
    <mergeCell ref="A34:A35"/>
    <mergeCell ref="B34:C34"/>
    <mergeCell ref="D34:E34"/>
    <mergeCell ref="D55:E55"/>
    <mergeCell ref="F55:G55"/>
    <mergeCell ref="H55:I55"/>
    <mergeCell ref="J55:K55"/>
    <mergeCell ref="B53:C53"/>
    <mergeCell ref="D53:E53"/>
    <mergeCell ref="F53:G53"/>
    <mergeCell ref="H53:I53"/>
    <mergeCell ref="J53:K53"/>
    <mergeCell ref="A50:A51"/>
    <mergeCell ref="B50:C50"/>
    <mergeCell ref="D50:E50"/>
    <mergeCell ref="F50:G50"/>
    <mergeCell ref="H50:I50"/>
    <mergeCell ref="J50:K50"/>
    <mergeCell ref="B51:C51"/>
    <mergeCell ref="A54:A55"/>
    <mergeCell ref="B54:C54"/>
    <mergeCell ref="D54:E54"/>
    <mergeCell ref="F54:G54"/>
    <mergeCell ref="H54:I54"/>
    <mergeCell ref="D51:E51"/>
    <mergeCell ref="F51:G51"/>
    <mergeCell ref="H51:I51"/>
    <mergeCell ref="J51:K51"/>
    <mergeCell ref="A52:A53"/>
    <mergeCell ref="B52:C52"/>
    <mergeCell ref="D52:E52"/>
    <mergeCell ref="F52:G52"/>
    <mergeCell ref="H52:I52"/>
    <mergeCell ref="J52:K52"/>
    <mergeCell ref="J54:K54"/>
    <mergeCell ref="B55:C55"/>
    <mergeCell ref="A48:A49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J45:K45"/>
    <mergeCell ref="A46:A47"/>
    <mergeCell ref="B46:C46"/>
    <mergeCell ref="D46:E46"/>
    <mergeCell ref="F46:G46"/>
    <mergeCell ref="H46:I46"/>
    <mergeCell ref="J46:K46"/>
    <mergeCell ref="B47:C47"/>
    <mergeCell ref="D47:E47"/>
    <mergeCell ref="F47:G47"/>
    <mergeCell ref="A44:A45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H47:I47"/>
    <mergeCell ref="J47:K47"/>
    <mergeCell ref="A42:A43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F34:G34"/>
    <mergeCell ref="H34:I34"/>
    <mergeCell ref="J34:K34"/>
    <mergeCell ref="A25:A26"/>
    <mergeCell ref="A27:A28"/>
    <mergeCell ref="A32:A33"/>
    <mergeCell ref="B32:I32"/>
    <mergeCell ref="J32:K33"/>
    <mergeCell ref="L32:M33"/>
    <mergeCell ref="B33:C33"/>
    <mergeCell ref="D33:E33"/>
    <mergeCell ref="F33:G33"/>
    <mergeCell ref="H33:I33"/>
    <mergeCell ref="A21:A22"/>
    <mergeCell ref="K22:L22"/>
    <mergeCell ref="A23:A24"/>
    <mergeCell ref="K24:L24"/>
    <mergeCell ref="A11:A12"/>
    <mergeCell ref="K12:L12"/>
    <mergeCell ref="A13:A14"/>
    <mergeCell ref="K14:L14"/>
    <mergeCell ref="A15:A16"/>
    <mergeCell ref="A17:A18"/>
    <mergeCell ref="K17:L17"/>
    <mergeCell ref="K18:L18"/>
    <mergeCell ref="A4:M4"/>
    <mergeCell ref="A9:B9"/>
    <mergeCell ref="D9:F9"/>
    <mergeCell ref="G9:G10"/>
    <mergeCell ref="H9:H10"/>
    <mergeCell ref="J9:J10"/>
    <mergeCell ref="A19:A20"/>
    <mergeCell ref="K19:L19"/>
    <mergeCell ref="K20:L20"/>
  </mergeCells>
  <pageMargins left="0.19685039370078741" right="0.19685039370078741" top="0.19685039370078741" bottom="0.19685039370078741" header="0.2" footer="0.19685039370078741"/>
  <pageSetup paperSize="9" fitToHeight="0" orientation="landscape" r:id="rId1"/>
  <rowBreaks count="3" manualBreakCount="3">
    <brk id="43" max="12" man="1"/>
    <brk id="124" max="12" man="1"/>
    <brk id="159" max="12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14"/>
  <sheetViews>
    <sheetView view="pageBreakPreview" topLeftCell="A169" zoomScale="90" zoomScaleNormal="100" zoomScaleSheetLayoutView="90" workbookViewId="0">
      <selection activeCell="K189" sqref="K189"/>
    </sheetView>
  </sheetViews>
  <sheetFormatPr defaultRowHeight="15" x14ac:dyDescent="0.25"/>
  <cols>
    <col min="1" max="1" width="13.85546875" customWidth="1"/>
    <col min="2" max="2" width="10.7109375" customWidth="1"/>
    <col min="3" max="3" width="12" customWidth="1"/>
    <col min="4" max="5" width="12.42578125" customWidth="1"/>
    <col min="6" max="6" width="11.140625" customWidth="1"/>
    <col min="7" max="7" width="12.42578125" customWidth="1"/>
    <col min="8" max="8" width="10.7109375" style="5" customWidth="1"/>
    <col min="9" max="9" width="12.8554687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298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9.5" customHeight="1" x14ac:dyDescent="0.25">
      <c r="A6" s="1" t="s">
        <v>299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8.5" customHeight="1" x14ac:dyDescent="0.25">
      <c r="A9" s="524" t="s">
        <v>6</v>
      </c>
      <c r="B9" s="524"/>
      <c r="C9" s="9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9" t="s">
        <v>13</v>
      </c>
      <c r="L9" s="9" t="s">
        <v>14</v>
      </c>
      <c r="M9" s="9" t="s">
        <v>15</v>
      </c>
      <c r="N9" s="148"/>
      <c r="O9" s="18" t="s">
        <v>150</v>
      </c>
      <c r="P9" s="64">
        <f>+C17+C23</f>
        <v>1912457.4285714284</v>
      </c>
    </row>
    <row r="10" spans="1:16" ht="18.75" customHeight="1" x14ac:dyDescent="0.25">
      <c r="A10" s="9" t="s">
        <v>16</v>
      </c>
      <c r="B10" s="9" t="s">
        <v>17</v>
      </c>
      <c r="C10" s="11"/>
      <c r="D10" s="9" t="s">
        <v>18</v>
      </c>
      <c r="E10" s="9" t="s">
        <v>19</v>
      </c>
      <c r="F10" s="9" t="s">
        <v>20</v>
      </c>
      <c r="G10" s="526"/>
      <c r="H10" s="527"/>
      <c r="I10" s="10" t="s">
        <v>21</v>
      </c>
      <c r="J10" s="526"/>
      <c r="K10" s="9" t="s">
        <v>22</v>
      </c>
      <c r="L10" s="9" t="s">
        <v>23</v>
      </c>
      <c r="M10" s="9" t="s">
        <v>24</v>
      </c>
      <c r="O10" s="312">
        <f>+T5.2026!G17+T4.2026!G17+T1.2026!G11</f>
        <v>885628.96799999999</v>
      </c>
    </row>
    <row r="11" spans="1:16" s="18" customFormat="1" ht="18" hidden="1" customHeight="1" x14ac:dyDescent="0.25">
      <c r="A11" s="530" t="s">
        <v>25</v>
      </c>
      <c r="B11" s="12" t="s">
        <v>21</v>
      </c>
      <c r="C11" s="116">
        <f>+G11*100/J12</f>
        <v>196980</v>
      </c>
      <c r="D11" s="117">
        <f>+$G$11*D12/100</f>
        <v>181457.97599999997</v>
      </c>
      <c r="E11" s="117">
        <f>+$G$11*E12/100</f>
        <v>5791.2119999999995</v>
      </c>
      <c r="F11" s="117">
        <f>+$G$11*F12/100</f>
        <v>5791.2119999999995</v>
      </c>
      <c r="G11" s="149">
        <f>+I11*H11</f>
        <v>193040.4</v>
      </c>
      <c r="H11" s="17">
        <v>14</v>
      </c>
      <c r="I11" s="17">
        <f>21*0.5*1340*0.98</f>
        <v>13788.6</v>
      </c>
      <c r="J11" s="12"/>
      <c r="K11" s="134"/>
      <c r="L11" s="150"/>
      <c r="M11" s="12"/>
      <c r="O11" s="19"/>
    </row>
    <row r="12" spans="1:16" s="18" customFormat="1" ht="18" hidden="1" customHeight="1" x14ac:dyDescent="0.25">
      <c r="A12" s="530"/>
      <c r="B12" s="12" t="s">
        <v>26</v>
      </c>
      <c r="C12" s="20"/>
      <c r="D12" s="21">
        <v>94</v>
      </c>
      <c r="E12" s="21">
        <v>3</v>
      </c>
      <c r="F12" s="21">
        <v>3</v>
      </c>
      <c r="G12" s="24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6" s="18" customFormat="1" ht="18" hidden="1" customHeight="1" x14ac:dyDescent="0.25">
      <c r="A13" s="530" t="s">
        <v>27</v>
      </c>
      <c r="B13" s="12" t="s">
        <v>21</v>
      </c>
      <c r="C13" s="151">
        <v>209653</v>
      </c>
      <c r="D13" s="24">
        <v>207028.5</v>
      </c>
      <c r="E13" s="14">
        <v>0</v>
      </c>
      <c r="F13" s="152">
        <v>1215</v>
      </c>
      <c r="G13" s="24">
        <f>SUM(D13:F13)</f>
        <v>208243.5</v>
      </c>
      <c r="H13" s="153">
        <v>14</v>
      </c>
      <c r="I13" s="26">
        <f>+G13/H13</f>
        <v>14874.535714285714</v>
      </c>
      <c r="J13" s="12"/>
      <c r="K13" s="152">
        <v>729</v>
      </c>
      <c r="L13" s="152">
        <v>603</v>
      </c>
      <c r="M13" s="12"/>
      <c r="N13" s="28"/>
      <c r="O13" s="19"/>
      <c r="P13" s="19">
        <f>+P12/10.9</f>
        <v>407273.39449541282</v>
      </c>
    </row>
    <row r="14" spans="1:16" s="18" customFormat="1" ht="18" hidden="1" customHeight="1" x14ac:dyDescent="0.25">
      <c r="A14" s="530"/>
      <c r="B14" s="12" t="s">
        <v>26</v>
      </c>
      <c r="C14" s="20"/>
      <c r="D14" s="21">
        <f>+D13/G13*100</f>
        <v>99.416548415676843</v>
      </c>
      <c r="E14" s="29">
        <f>+E13/G13*100</f>
        <v>0</v>
      </c>
      <c r="F14" s="29">
        <f>+F13/G13*100</f>
        <v>0.58345158432316013</v>
      </c>
      <c r="G14" s="24">
        <f t="shared" ref="G14" si="0">SUM(D14:F14)</f>
        <v>100</v>
      </c>
      <c r="H14" s="153"/>
      <c r="I14" s="23"/>
      <c r="J14" s="30">
        <f>+G13/C13*100</f>
        <v>99.327698625824581</v>
      </c>
      <c r="K14" s="534">
        <f>100-J14</f>
        <v>0.67230137417541869</v>
      </c>
      <c r="L14" s="534"/>
      <c r="M14" s="31">
        <v>75</v>
      </c>
      <c r="O14" s="28"/>
      <c r="P14" s="18">
        <f>+P13*2390</f>
        <v>973383412.8440367</v>
      </c>
    </row>
    <row r="15" spans="1:16" s="18" customFormat="1" ht="20.25" hidden="1" customHeight="1" x14ac:dyDescent="0.25">
      <c r="A15" s="530" t="s">
        <v>28</v>
      </c>
      <c r="B15" s="12" t="s">
        <v>21</v>
      </c>
      <c r="C15" s="24">
        <f>+C13-C11</f>
        <v>12673</v>
      </c>
      <c r="D15" s="13">
        <f>+D13-D11</f>
        <v>25570.524000000034</v>
      </c>
      <c r="E15" s="32">
        <f>+(E13-E11)</f>
        <v>-5791.2119999999995</v>
      </c>
      <c r="F15" s="14">
        <f>+F13-F11</f>
        <v>-4576.2119999999995</v>
      </c>
      <c r="G15" s="24">
        <f>SUM(D15:F15)</f>
        <v>15203.100000000035</v>
      </c>
      <c r="H15" s="153"/>
      <c r="I15" s="23"/>
      <c r="J15" s="13"/>
      <c r="K15" s="33"/>
      <c r="L15" s="33"/>
      <c r="M15" s="12"/>
      <c r="N15" s="34"/>
      <c r="P15" s="18">
        <f>+P14/418800</f>
        <v>2324.2201834862385</v>
      </c>
    </row>
    <row r="16" spans="1:16" s="18" customFormat="1" ht="18.75" hidden="1" customHeight="1" x14ac:dyDescent="0.25">
      <c r="A16" s="530"/>
      <c r="B16" s="12" t="s">
        <v>26</v>
      </c>
      <c r="C16" s="20"/>
      <c r="D16" s="35">
        <f>+D14-D12</f>
        <v>5.4165484156768429</v>
      </c>
      <c r="E16" s="36">
        <f>+E14-E12</f>
        <v>-3</v>
      </c>
      <c r="F16" s="37">
        <f>+F14-F12</f>
        <v>-2.4165484156768398</v>
      </c>
      <c r="G16" s="23">
        <v>0</v>
      </c>
      <c r="H16" s="153"/>
      <c r="I16" s="23"/>
      <c r="J16" s="12"/>
      <c r="K16" s="33"/>
      <c r="L16" s="33"/>
      <c r="M16" s="12"/>
      <c r="N16" s="34">
        <f>97.5+1.29</f>
        <v>98.79</v>
      </c>
    </row>
    <row r="17" spans="1:16" s="18" customFormat="1" ht="15.75" customHeight="1" x14ac:dyDescent="0.25">
      <c r="A17" s="642" t="s">
        <v>169</v>
      </c>
      <c r="B17" s="12" t="s">
        <v>21</v>
      </c>
      <c r="C17" s="121">
        <f>+T1.2026!C11+T4.2026!C17+T5.2026!C17+T6.2026!C17</f>
        <v>1328541.4285714284</v>
      </c>
      <c r="D17" s="117">
        <f t="shared" ref="D17:E17" si="1">+$G$17*D18/100</f>
        <v>1171773.54</v>
      </c>
      <c r="E17" s="117">
        <f t="shared" si="1"/>
        <v>91137.94200000001</v>
      </c>
      <c r="F17" s="117">
        <f>+$G$17*F18/100</f>
        <v>39059.118000000002</v>
      </c>
      <c r="G17" s="117">
        <f>+T5.2026!G17+T4.2026!G17+T1.2026!G11+T6.2026!G17</f>
        <v>1301970.6000000001</v>
      </c>
      <c r="H17" s="313">
        <f>+T5.2026!H17+T4.2026!H17+T1.2026!H11+T6.2026!H17</f>
        <v>90</v>
      </c>
      <c r="I17" s="17">
        <f>+G17/H17</f>
        <v>14466.34</v>
      </c>
      <c r="J17" s="12"/>
      <c r="K17" s="682">
        <f>+C17-G17</f>
        <v>26570.828571428312</v>
      </c>
      <c r="L17" s="683"/>
      <c r="M17" s="12"/>
      <c r="O17" s="19">
        <f>+D17+E17+F17</f>
        <v>1301970.6000000001</v>
      </c>
    </row>
    <row r="18" spans="1:16" s="18" customFormat="1" ht="12.75" customHeight="1" x14ac:dyDescent="0.25">
      <c r="A18" s="642"/>
      <c r="B18" s="12" t="s">
        <v>26</v>
      </c>
      <c r="C18" s="154"/>
      <c r="D18" s="125">
        <v>90</v>
      </c>
      <c r="E18" s="125">
        <v>7</v>
      </c>
      <c r="F18" s="125">
        <v>3</v>
      </c>
      <c r="G18" s="24">
        <v>100</v>
      </c>
      <c r="H18" s="153"/>
      <c r="I18" s="23"/>
      <c r="J18" s="13">
        <v>98</v>
      </c>
      <c r="K18" s="533">
        <v>2</v>
      </c>
      <c r="L18" s="533"/>
      <c r="M18" s="25">
        <v>40</v>
      </c>
      <c r="O18" s="19"/>
      <c r="P18" s="19"/>
    </row>
    <row r="19" spans="1:16" s="18" customFormat="1" ht="18" customHeight="1" x14ac:dyDescent="0.25">
      <c r="A19" s="642" t="s">
        <v>170</v>
      </c>
      <c r="B19" s="12" t="s">
        <v>21</v>
      </c>
      <c r="C19" s="151">
        <f>+T5.2026!C23+T4.2026!C19+T1.2026!C13+T6.2026!C21</f>
        <v>1353363</v>
      </c>
      <c r="D19" s="24">
        <f>+T5.2026!D23+T4.2026!D19+T1.2026!D13+T6.2026!D21</f>
        <v>1259672</v>
      </c>
      <c r="E19" s="152">
        <v>0</v>
      </c>
      <c r="F19" s="152">
        <f>+T5.2026!F23+T4.2026!F19+T1.2026!F13+T6.2026!F21</f>
        <v>75569.600000000006</v>
      </c>
      <c r="G19" s="24">
        <f>+F19+D19</f>
        <v>1335241.6000000001</v>
      </c>
      <c r="H19" s="151">
        <f>+T6.2026!H21+T5.2026!H23+T4.2026!H19+T1.2026!H13</f>
        <v>90.5</v>
      </c>
      <c r="I19" s="26">
        <f>G19/H19</f>
        <v>14754.050828729283</v>
      </c>
      <c r="J19" s="155"/>
      <c r="K19" s="152">
        <f>+T5.2026!K23+T4.2026!K19+T1.2026!K13+T6.2026!K21</f>
        <v>5795.2000000000007</v>
      </c>
      <c r="L19" s="156">
        <f>+T5.2026!L23+T4.2026!L19+T1.2026!L13+T6.2026!L21</f>
        <v>7277</v>
      </c>
      <c r="M19" s="12"/>
      <c r="N19" s="28"/>
      <c r="O19" s="19">
        <f>+T5.2026!G23+T4.2026!G19+T1.2026!G13</f>
        <v>904404.8</v>
      </c>
      <c r="P19" s="19"/>
    </row>
    <row r="20" spans="1:16" s="18" customFormat="1" ht="20.25" customHeight="1" x14ac:dyDescent="0.25">
      <c r="A20" s="642"/>
      <c r="B20" s="12" t="s">
        <v>26</v>
      </c>
      <c r="C20" s="20"/>
      <c r="D20" s="21">
        <f>+D19/G19*100</f>
        <v>94.34038004807519</v>
      </c>
      <c r="E20" s="29">
        <f>+E19/G19*100</f>
        <v>0</v>
      </c>
      <c r="F20" s="29">
        <f>+F19/G19*100</f>
        <v>5.6596199519248058</v>
      </c>
      <c r="G20" s="24">
        <f t="shared" ref="G20" si="2">SUM(D20:F20)</f>
        <v>100</v>
      </c>
      <c r="H20" s="22"/>
      <c r="I20" s="23"/>
      <c r="J20" s="30">
        <f>+G19/C19*100</f>
        <v>98.661009647818076</v>
      </c>
      <c r="K20" s="534">
        <f>100-J20</f>
        <v>1.3389903521819235</v>
      </c>
      <c r="L20" s="534"/>
      <c r="M20" s="31">
        <v>42</v>
      </c>
      <c r="O20" s="28"/>
    </row>
    <row r="21" spans="1:16" s="18" customFormat="1" ht="15.75" customHeight="1" x14ac:dyDescent="0.25">
      <c r="A21" s="642" t="s">
        <v>171</v>
      </c>
      <c r="B21" s="12" t="s">
        <v>21</v>
      </c>
      <c r="C21" s="24">
        <f>+C19-C17</f>
        <v>24821.571428571595</v>
      </c>
      <c r="D21" s="24">
        <f t="shared" ref="D21:F21" si="3">+D19-D17</f>
        <v>87898.459999999963</v>
      </c>
      <c r="E21" s="24">
        <f t="shared" si="3"/>
        <v>-91137.94200000001</v>
      </c>
      <c r="F21" s="24">
        <f t="shared" si="3"/>
        <v>36510.482000000004</v>
      </c>
      <c r="G21" s="24">
        <f>+G19-G17</f>
        <v>33271</v>
      </c>
      <c r="H21" s="22"/>
      <c r="I21" s="23"/>
      <c r="J21" s="13"/>
      <c r="K21" s="33"/>
      <c r="L21" s="33"/>
      <c r="M21" s="12"/>
      <c r="N21" s="34"/>
    </row>
    <row r="22" spans="1:16" s="18" customFormat="1" ht="15.75" customHeight="1" x14ac:dyDescent="0.25">
      <c r="A22" s="642"/>
      <c r="B22" s="12" t="s">
        <v>26</v>
      </c>
      <c r="C22" s="20"/>
      <c r="D22" s="35">
        <f>+D14-D12</f>
        <v>5.4165484156768429</v>
      </c>
      <c r="E22" s="36">
        <f>+E14-E12</f>
        <v>-3</v>
      </c>
      <c r="F22" s="37">
        <f>+F14-F12</f>
        <v>-2.4165484156768398</v>
      </c>
      <c r="G22" s="23">
        <v>0</v>
      </c>
      <c r="H22" s="22"/>
      <c r="I22" s="23"/>
      <c r="J22" s="12"/>
      <c r="K22" s="33"/>
      <c r="L22" s="33"/>
      <c r="M22" s="12"/>
      <c r="N22" s="34">
        <f>97.5+1.29</f>
        <v>98.79</v>
      </c>
    </row>
    <row r="23" spans="1:16" s="18" customFormat="1" ht="16.5" customHeight="1" x14ac:dyDescent="0.25">
      <c r="A23" s="642" t="s">
        <v>25</v>
      </c>
      <c r="B23" s="12" t="s">
        <v>21</v>
      </c>
      <c r="C23" s="151">
        <f>+T4.2026!C11+T3.2026!C11+T6.2026!C19</f>
        <v>583916</v>
      </c>
      <c r="D23" s="24">
        <f>+T4.2026!D11+T3.2026!D11+T6.2026!D19</f>
        <v>537903.61800000002</v>
      </c>
      <c r="E23" s="152">
        <f>+T4.2026!E11+T3.2026!E11+T6.2026!E19</f>
        <v>17167.041000000001</v>
      </c>
      <c r="F23" s="152">
        <f>+T4.2026!F11+T3.2026!F11+T6.2026!F19</f>
        <v>17167.041000000001</v>
      </c>
      <c r="G23" s="24">
        <f>+F23+D23+E23</f>
        <v>572237.69999999995</v>
      </c>
      <c r="H23" s="151">
        <f>+T4.2026!H11+T3.2026!H11+T6.2026!H23</f>
        <v>42.5</v>
      </c>
      <c r="I23" s="26">
        <f>21*0.5*1340*0.98</f>
        <v>13788.6</v>
      </c>
      <c r="J23" s="155"/>
      <c r="K23" s="635">
        <f>+C23-G23</f>
        <v>11678.300000000047</v>
      </c>
      <c r="L23" s="636"/>
      <c r="M23" s="12"/>
      <c r="N23" s="28"/>
      <c r="O23" s="19">
        <f>+T4.2026!G11+T3.2026!G11</f>
        <v>565343.4</v>
      </c>
      <c r="P23" s="19"/>
    </row>
    <row r="24" spans="1:16" s="18" customFormat="1" ht="13.5" customHeight="1" x14ac:dyDescent="0.25">
      <c r="A24" s="642"/>
      <c r="B24" s="12" t="s">
        <v>26</v>
      </c>
      <c r="C24" s="20"/>
      <c r="D24" s="21">
        <f>+D23/G23*100</f>
        <v>94.000031455459862</v>
      </c>
      <c r="E24" s="29">
        <f>+E23/G23*100</f>
        <v>2.9999842722700727</v>
      </c>
      <c r="F24" s="29">
        <f>+F23/G23*100</f>
        <v>2.9999842722700727</v>
      </c>
      <c r="G24" s="24">
        <f t="shared" ref="G24" si="4">SUM(D24:F24)</f>
        <v>100</v>
      </c>
      <c r="H24" s="151"/>
      <c r="I24" s="23"/>
      <c r="J24" s="30">
        <f>+G23/C23*100</f>
        <v>98.000003425150183</v>
      </c>
      <c r="K24" s="534">
        <v>2</v>
      </c>
      <c r="L24" s="534"/>
      <c r="M24" s="31">
        <v>100</v>
      </c>
      <c r="O24" s="28"/>
    </row>
    <row r="25" spans="1:16" s="18" customFormat="1" ht="16.5" customHeight="1" x14ac:dyDescent="0.25">
      <c r="A25" s="642" t="s">
        <v>297</v>
      </c>
      <c r="B25" s="12" t="s">
        <v>21</v>
      </c>
      <c r="C25" s="151">
        <f>+T4.2026!C13+T3.2026!C13+T6.2026!C23</f>
        <v>638090</v>
      </c>
      <c r="D25" s="24">
        <f>+T4.2026!D13+T3.2026!D13+T6.2026!D23</f>
        <v>625632</v>
      </c>
      <c r="E25" s="152">
        <v>0</v>
      </c>
      <c r="F25" s="152">
        <f>+T4.2026!F13+T3.2026!F13+T6.2026!F23</f>
        <v>4021.5</v>
      </c>
      <c r="G25" s="24">
        <f>+F25+D25</f>
        <v>629653.5</v>
      </c>
      <c r="H25" s="151">
        <f>+T6.2026!H23+T4.2026!H13+T3.2026!H13</f>
        <v>42.5</v>
      </c>
      <c r="I25" s="26">
        <f>G25/H25</f>
        <v>14815.376470588235</v>
      </c>
      <c r="J25" s="155"/>
      <c r="K25" s="152">
        <f>+T4.2026!K13+T3.2026!K13+T6.2026!K23</f>
        <v>1925</v>
      </c>
      <c r="L25" s="156">
        <f>+T4.2026!L13+T3.2026!L13+T6.2026!L23</f>
        <v>1701</v>
      </c>
      <c r="M25" s="12"/>
      <c r="N25" s="28"/>
      <c r="O25" s="19">
        <f>+T4.2026!G13+T3.2026!G13</f>
        <v>623982</v>
      </c>
      <c r="P25" s="19"/>
    </row>
    <row r="26" spans="1:16" s="18" customFormat="1" ht="13.5" customHeight="1" x14ac:dyDescent="0.25">
      <c r="A26" s="642"/>
      <c r="B26" s="12" t="s">
        <v>26</v>
      </c>
      <c r="C26" s="20"/>
      <c r="D26" s="21">
        <f>+D25/G25*100</f>
        <v>99.361315390131239</v>
      </c>
      <c r="E26" s="29">
        <f>+E25/G25*100</f>
        <v>0</v>
      </c>
      <c r="F26" s="29">
        <f>+F25/G25*100</f>
        <v>0.63868460986876119</v>
      </c>
      <c r="G26" s="24">
        <f t="shared" ref="G26" si="5">SUM(D26:F26)</f>
        <v>100</v>
      </c>
      <c r="H26" s="22"/>
      <c r="I26" s="23"/>
      <c r="J26" s="30">
        <f>+G25/C25*100</f>
        <v>98.677851086837279</v>
      </c>
      <c r="K26" s="648">
        <f>100-J26</f>
        <v>1.3221489131627209</v>
      </c>
      <c r="L26" s="648"/>
      <c r="M26" s="31">
        <v>78</v>
      </c>
      <c r="O26" s="28"/>
    </row>
    <row r="27" spans="1:16" s="18" customFormat="1" ht="15.75" customHeight="1" x14ac:dyDescent="0.25">
      <c r="A27" s="642" t="s">
        <v>28</v>
      </c>
      <c r="B27" s="12" t="s">
        <v>21</v>
      </c>
      <c r="C27" s="24">
        <f>+C25-C17</f>
        <v>-690451.42857142841</v>
      </c>
      <c r="D27" s="24">
        <f>+D25-D17</f>
        <v>-546141.54</v>
      </c>
      <c r="E27" s="24">
        <f>+E25-E17</f>
        <v>-91137.94200000001</v>
      </c>
      <c r="F27" s="24">
        <f>+F25-F17</f>
        <v>-35037.618000000002</v>
      </c>
      <c r="G27" s="24">
        <f>+G25-G17</f>
        <v>-672317.10000000009</v>
      </c>
      <c r="H27" s="22"/>
      <c r="I27" s="23"/>
      <c r="J27" s="13"/>
      <c r="K27" s="33"/>
      <c r="L27" s="33"/>
      <c r="M27" s="12"/>
      <c r="N27" s="34"/>
    </row>
    <row r="28" spans="1:16" s="18" customFormat="1" ht="15.75" customHeight="1" x14ac:dyDescent="0.25">
      <c r="A28" s="642"/>
      <c r="B28" s="12" t="s">
        <v>26</v>
      </c>
      <c r="C28" s="20"/>
      <c r="D28" s="35">
        <f>+D20-D18</f>
        <v>4.3403800480751897</v>
      </c>
      <c r="E28" s="36">
        <f>+E20-E18</f>
        <v>-7</v>
      </c>
      <c r="F28" s="37">
        <f>+F20-F18</f>
        <v>2.6596199519248058</v>
      </c>
      <c r="G28" s="23">
        <v>0</v>
      </c>
      <c r="H28" s="22"/>
      <c r="I28" s="23"/>
      <c r="J28" s="12"/>
      <c r="K28" s="33"/>
      <c r="L28" s="33"/>
      <c r="M28" s="12"/>
      <c r="N28" s="34">
        <f>97.5+1.29</f>
        <v>98.79</v>
      </c>
    </row>
    <row r="29" spans="1:16" ht="14.25" customHeight="1" x14ac:dyDescent="0.25">
      <c r="A29" s="1" t="s">
        <v>330</v>
      </c>
      <c r="B29" s="7"/>
      <c r="C29" s="7"/>
      <c r="D29" s="7"/>
      <c r="E29" s="7"/>
      <c r="F29" s="7"/>
      <c r="G29" s="7"/>
      <c r="J29" s="7"/>
      <c r="K29" s="7"/>
      <c r="L29" s="7"/>
      <c r="M29" s="7"/>
    </row>
    <row r="30" spans="1:16" ht="13.5" customHeight="1" x14ac:dyDescent="0.25">
      <c r="A30" s="1" t="s">
        <v>30</v>
      </c>
      <c r="B30" s="7"/>
      <c r="C30" s="7"/>
      <c r="D30" s="7"/>
      <c r="E30" s="7"/>
      <c r="F30" s="7"/>
      <c r="G30" s="7"/>
      <c r="J30" s="7"/>
      <c r="K30" s="7"/>
      <c r="L30" s="7"/>
      <c r="M30" s="7"/>
    </row>
    <row r="31" spans="1:16" ht="16.5" customHeight="1" x14ac:dyDescent="0.25">
      <c r="A31" s="2" t="s">
        <v>332</v>
      </c>
      <c r="B31" s="7"/>
      <c r="C31" s="7"/>
      <c r="D31" s="7"/>
      <c r="E31" s="7"/>
      <c r="F31" s="7"/>
      <c r="G31" s="7"/>
      <c r="J31" s="7"/>
      <c r="K31" s="7"/>
      <c r="L31" s="7"/>
      <c r="M31" s="7"/>
    </row>
    <row r="32" spans="1:16" s="38" customFormat="1" ht="14.25" customHeight="1" x14ac:dyDescent="0.25">
      <c r="A32" s="524" t="s">
        <v>32</v>
      </c>
      <c r="B32" s="542" t="s">
        <v>33</v>
      </c>
      <c r="C32" s="542"/>
      <c r="D32" s="542"/>
      <c r="E32" s="542"/>
      <c r="F32" s="542"/>
      <c r="G32" s="542"/>
      <c r="H32" s="542"/>
      <c r="I32" s="542"/>
      <c r="J32" s="543" t="s">
        <v>34</v>
      </c>
      <c r="K32" s="544"/>
      <c r="L32" s="524" t="s">
        <v>35</v>
      </c>
      <c r="M32" s="524"/>
      <c r="N32" s="316" t="s">
        <v>150</v>
      </c>
      <c r="O32" s="316"/>
    </row>
    <row r="33" spans="1:16" s="38" customFormat="1" ht="12.75" customHeight="1" x14ac:dyDescent="0.25">
      <c r="A33" s="524"/>
      <c r="B33" s="528" t="s">
        <v>18</v>
      </c>
      <c r="C33" s="529"/>
      <c r="D33" s="528" t="s">
        <v>19</v>
      </c>
      <c r="E33" s="529"/>
      <c r="F33" s="528" t="s">
        <v>20</v>
      </c>
      <c r="G33" s="529"/>
      <c r="H33" s="528" t="s">
        <v>36</v>
      </c>
      <c r="I33" s="529"/>
      <c r="J33" s="545"/>
      <c r="K33" s="546"/>
      <c r="L33" s="524"/>
      <c r="M33" s="524"/>
    </row>
    <row r="34" spans="1:16" s="38" customFormat="1" ht="15.75" customHeight="1" x14ac:dyDescent="0.25">
      <c r="A34" s="530" t="s">
        <v>37</v>
      </c>
      <c r="B34" s="536">
        <f>+T5.2026!B55+T6.2026!B34</f>
        <v>229150.39999999997</v>
      </c>
      <c r="C34" s="537"/>
      <c r="D34" s="536"/>
      <c r="E34" s="537"/>
      <c r="F34" s="536">
        <f>+T5.2026!F55+T6.2026!F34</f>
        <v>19508.800000000003</v>
      </c>
      <c r="G34" s="537"/>
      <c r="H34" s="538">
        <f>+B34+D34+F34</f>
        <v>248659.19999999995</v>
      </c>
      <c r="I34" s="539"/>
      <c r="J34" s="540"/>
      <c r="K34" s="541"/>
      <c r="L34" s="564"/>
      <c r="M34" s="565"/>
    </row>
    <row r="35" spans="1:16" s="38" customFormat="1" ht="15.75" customHeight="1" x14ac:dyDescent="0.25">
      <c r="A35" s="530"/>
      <c r="B35" s="550">
        <f>+B34/$H$34*100</f>
        <v>92.154402491442099</v>
      </c>
      <c r="C35" s="551" t="e">
        <f>+C34/C56*100</f>
        <v>#REF!</v>
      </c>
      <c r="D35" s="550">
        <f t="shared" ref="D35" si="6">+D34/$H$34*100</f>
        <v>0</v>
      </c>
      <c r="E35" s="551" t="e">
        <f>+E34/E56*100</f>
        <v>#REF!</v>
      </c>
      <c r="F35" s="550">
        <f t="shared" ref="F35" si="7">+F34/$H$34*100</f>
        <v>7.8455975085578995</v>
      </c>
      <c r="G35" s="551" t="e">
        <f>+G34/G56*100</f>
        <v>#REF!</v>
      </c>
      <c r="H35" s="550">
        <f>+H34/$H$34*100</f>
        <v>100</v>
      </c>
      <c r="I35" s="551" t="e">
        <f>+I34/I56*100</f>
        <v>#REF!</v>
      </c>
      <c r="J35" s="549">
        <f>+H34/$H$56*100</f>
        <v>33.606445711616679</v>
      </c>
      <c r="K35" s="541"/>
      <c r="L35" s="566"/>
      <c r="M35" s="567"/>
    </row>
    <row r="36" spans="1:16" s="38" customFormat="1" ht="15.75" customHeight="1" x14ac:dyDescent="0.25">
      <c r="A36" s="530" t="s">
        <v>38</v>
      </c>
      <c r="B36" s="536">
        <f>+T5.2026!B53+T6.2026!B36</f>
        <v>12139.2</v>
      </c>
      <c r="C36" s="537"/>
      <c r="D36" s="536"/>
      <c r="E36" s="537"/>
      <c r="F36" s="536">
        <f>+T5.2026!F53+T6.2026!F36</f>
        <v>844.80000000000018</v>
      </c>
      <c r="G36" s="537"/>
      <c r="H36" s="547">
        <f>+B36+D36+F36</f>
        <v>12984</v>
      </c>
      <c r="I36" s="548"/>
      <c r="J36" s="549"/>
      <c r="K36" s="541"/>
      <c r="L36" s="566"/>
      <c r="M36" s="567"/>
    </row>
    <row r="37" spans="1:16" s="38" customFormat="1" ht="15.75" customHeight="1" x14ac:dyDescent="0.25">
      <c r="A37" s="530"/>
      <c r="B37" s="550">
        <f>+B36/$H$36*100</f>
        <v>93.493530499075788</v>
      </c>
      <c r="C37" s="551" t="e">
        <f>+C36/C42*100</f>
        <v>#DIV/0!</v>
      </c>
      <c r="D37" s="550">
        <f t="shared" ref="D37" si="8">+D36/$H$36*100</f>
        <v>0</v>
      </c>
      <c r="E37" s="551" t="e">
        <f>+E36/E42*100</f>
        <v>#DIV/0!</v>
      </c>
      <c r="F37" s="550">
        <f>+F36/$H$36*100</f>
        <v>6.5064695009242151</v>
      </c>
      <c r="G37" s="551" t="e">
        <f>+G36/G42*100</f>
        <v>#DIV/0!</v>
      </c>
      <c r="H37" s="550">
        <f t="shared" ref="H37" si="9">+H36/$H$36*100</f>
        <v>100</v>
      </c>
      <c r="I37" s="551" t="e">
        <f>+I36/I42*100</f>
        <v>#DIV/0!</v>
      </c>
      <c r="J37" s="549">
        <f>+H36/$H$56*100</f>
        <v>1.7547956846946786</v>
      </c>
      <c r="K37" s="541"/>
      <c r="L37" s="566"/>
      <c r="M37" s="567"/>
    </row>
    <row r="38" spans="1:16" s="38" customFormat="1" ht="15" customHeight="1" x14ac:dyDescent="0.25">
      <c r="A38" s="655" t="s">
        <v>40</v>
      </c>
      <c r="B38" s="536">
        <f>+T5.2026!B67+T6.2026!B40</f>
        <v>27212.799999999999</v>
      </c>
      <c r="C38" s="537"/>
      <c r="D38" s="536"/>
      <c r="E38" s="537"/>
      <c r="F38" s="536">
        <f>+T5.2026!F67+T6.2026!F40</f>
        <v>1203.2</v>
      </c>
      <c r="G38" s="537"/>
      <c r="H38" s="547">
        <f>+B38+D38+F38</f>
        <v>28416</v>
      </c>
      <c r="I38" s="548"/>
      <c r="J38" s="549"/>
      <c r="K38" s="541"/>
      <c r="L38" s="566"/>
      <c r="M38" s="567"/>
      <c r="O38" s="168">
        <f>+T1.2026!H65+T4.2026!H67+T5.2026!H48</f>
        <v>595328</v>
      </c>
      <c r="P38" s="38" t="s">
        <v>333</v>
      </c>
    </row>
    <row r="39" spans="1:16" s="38" customFormat="1" ht="15" customHeight="1" x14ac:dyDescent="0.25">
      <c r="A39" s="656"/>
      <c r="B39" s="554">
        <f>+B38/$H$38*100</f>
        <v>95.765765765765764</v>
      </c>
      <c r="C39" s="555" t="e">
        <f>+C38/C40*100</f>
        <v>#DIV/0!</v>
      </c>
      <c r="D39" s="554">
        <f t="shared" ref="D39" si="10">+D38/$H$38*100</f>
        <v>0</v>
      </c>
      <c r="E39" s="555" t="e">
        <f t="shared" ref="E39" si="11">+E38/E40*100</f>
        <v>#DIV/0!</v>
      </c>
      <c r="F39" s="554">
        <f t="shared" ref="F39" si="12">+F38/$H$38*100</f>
        <v>4.2342342342342345</v>
      </c>
      <c r="G39" s="555" t="e">
        <f t="shared" ref="G39" si="13">+G38/G40*100</f>
        <v>#DIV/0!</v>
      </c>
      <c r="H39" s="554">
        <f t="shared" ref="H39" si="14">+H38/$H$38*100</f>
        <v>100</v>
      </c>
      <c r="I39" s="555" t="e">
        <f t="shared" ref="I39" si="15">+I38/I40*100</f>
        <v>#DIV/0!</v>
      </c>
      <c r="J39" s="549">
        <f>+H38/$H$56*100</f>
        <v>3.8404400936755998</v>
      </c>
      <c r="K39" s="541"/>
      <c r="L39" s="566"/>
      <c r="M39" s="567"/>
      <c r="O39" s="38">
        <v>739915.2</v>
      </c>
      <c r="P39" s="168">
        <f>+O38+O39</f>
        <v>1335243.2</v>
      </c>
    </row>
    <row r="40" spans="1:16" s="38" customFormat="1" ht="15" customHeight="1" x14ac:dyDescent="0.25">
      <c r="A40" s="530" t="s">
        <v>42</v>
      </c>
      <c r="B40" s="536">
        <f>+T5.2026!B61+T6.2026!B48</f>
        <v>40243.199999999997</v>
      </c>
      <c r="C40" s="537"/>
      <c r="D40" s="536"/>
      <c r="E40" s="537"/>
      <c r="F40" s="536">
        <f>+T5.2026!F61+T6.2026!F48</f>
        <v>1872.0000000000002</v>
      </c>
      <c r="G40" s="537"/>
      <c r="H40" s="547">
        <f>+B40+D40+F40</f>
        <v>42115.199999999997</v>
      </c>
      <c r="I40" s="548"/>
      <c r="J40" s="549"/>
      <c r="K40" s="541"/>
      <c r="L40" s="566"/>
      <c r="M40" s="567"/>
    </row>
    <row r="41" spans="1:16" s="38" customFormat="1" ht="15.75" customHeight="1" x14ac:dyDescent="0.25">
      <c r="A41" s="530"/>
      <c r="B41" s="554">
        <f>+B40/$H$40*100</f>
        <v>95.555049008434011</v>
      </c>
      <c r="C41" s="555" t="e">
        <f>+C40/C42*100</f>
        <v>#DIV/0!</v>
      </c>
      <c r="D41" s="554">
        <f t="shared" ref="D41" si="16">+D40/$H$40*100</f>
        <v>0</v>
      </c>
      <c r="E41" s="555" t="e">
        <f t="shared" ref="E41" si="17">+E40/E42*100</f>
        <v>#DIV/0!</v>
      </c>
      <c r="F41" s="554">
        <f t="shared" ref="F41" si="18">+F40/$H$40*100</f>
        <v>4.4449509915659915</v>
      </c>
      <c r="G41" s="555" t="e">
        <f t="shared" ref="G41" si="19">+G40/G42*100</f>
        <v>#DIV/0!</v>
      </c>
      <c r="H41" s="554">
        <f t="shared" ref="H41" si="20">+H40/$H$40*100</f>
        <v>100</v>
      </c>
      <c r="I41" s="555" t="e">
        <f t="shared" ref="I41" si="21">+I40/I42*100</f>
        <v>#DIV/0!</v>
      </c>
      <c r="J41" s="549">
        <f>+H40/$H$56*100</f>
        <v>5.6918955037009642</v>
      </c>
      <c r="K41" s="541"/>
      <c r="L41" s="566"/>
      <c r="M41" s="567"/>
    </row>
    <row r="42" spans="1:16" s="38" customFormat="1" ht="15.75" customHeight="1" x14ac:dyDescent="0.25">
      <c r="A42" s="530" t="s">
        <v>39</v>
      </c>
      <c r="B42" s="536">
        <f>+T6.2026!B42</f>
        <v>35075.199999999997</v>
      </c>
      <c r="C42" s="537"/>
      <c r="D42" s="536"/>
      <c r="E42" s="537"/>
      <c r="F42" s="536">
        <f>+T6.2026!F42</f>
        <v>1182.4000000000001</v>
      </c>
      <c r="G42" s="537"/>
      <c r="H42" s="547">
        <f>+B42+D42+F42</f>
        <v>36257.599999999999</v>
      </c>
      <c r="I42" s="548"/>
      <c r="J42" s="549"/>
      <c r="K42" s="541"/>
      <c r="L42" s="566"/>
      <c r="M42" s="567"/>
    </row>
    <row r="43" spans="1:16" s="38" customFormat="1" ht="16.5" customHeight="1" x14ac:dyDescent="0.25">
      <c r="A43" s="530"/>
      <c r="B43" s="550">
        <f>+B42/$H$42*100</f>
        <v>96.738890605004187</v>
      </c>
      <c r="C43" s="551" t="e">
        <f>+C42/C56*100</f>
        <v>#REF!</v>
      </c>
      <c r="D43" s="550">
        <f t="shared" ref="D43" si="22">+D42/$H$42*100</f>
        <v>0</v>
      </c>
      <c r="E43" s="551" t="e">
        <f>+E42/E56*100</f>
        <v>#REF!</v>
      </c>
      <c r="F43" s="550">
        <f t="shared" ref="F43" si="23">+F42/$H$42*100</f>
        <v>3.2611093949958079</v>
      </c>
      <c r="G43" s="551" t="e">
        <f>+G42/G56*100</f>
        <v>#REF!</v>
      </c>
      <c r="H43" s="550">
        <f t="shared" ref="H43" si="24">+H42/$H$42*100</f>
        <v>100</v>
      </c>
      <c r="I43" s="551" t="e">
        <f>+I42/I56*100</f>
        <v>#REF!</v>
      </c>
      <c r="J43" s="549">
        <f>+H42/$H$56*100</f>
        <v>4.9002372163729033</v>
      </c>
      <c r="K43" s="541"/>
      <c r="L43" s="566"/>
      <c r="M43" s="567"/>
    </row>
    <row r="44" spans="1:16" s="38" customFormat="1" ht="16.5" customHeight="1" x14ac:dyDescent="0.25">
      <c r="A44" s="530" t="s">
        <v>117</v>
      </c>
      <c r="B44" s="536">
        <f>+T5.2026!B57+T6.2026!B44</f>
        <v>153102.39999999999</v>
      </c>
      <c r="C44" s="537"/>
      <c r="D44" s="536"/>
      <c r="E44" s="537"/>
      <c r="F44" s="536">
        <f>+T5.2026!F57+T6.2026!F44</f>
        <v>7880</v>
      </c>
      <c r="G44" s="537"/>
      <c r="H44" s="547">
        <f>+B44+D44+F44</f>
        <v>160982.39999999999</v>
      </c>
      <c r="I44" s="548"/>
      <c r="J44" s="549"/>
      <c r="K44" s="541"/>
      <c r="L44" s="566"/>
      <c r="M44" s="567"/>
    </row>
    <row r="45" spans="1:16" s="38" customFormat="1" ht="16.5" customHeight="1" x14ac:dyDescent="0.25">
      <c r="A45" s="530"/>
      <c r="B45" s="554">
        <f>+B44/$H$40*100</f>
        <v>363.53240635210091</v>
      </c>
      <c r="C45" s="555" t="e">
        <f>+C44/C46*100</f>
        <v>#DIV/0!</v>
      </c>
      <c r="D45" s="554">
        <f t="shared" ref="D45" si="25">+D44/$H$40*100</f>
        <v>0</v>
      </c>
      <c r="E45" s="555" t="e">
        <f t="shared" ref="E45" si="26">+E44/E46*100</f>
        <v>#DIV/0!</v>
      </c>
      <c r="F45" s="554">
        <f t="shared" ref="F45" si="27">+F44/$H$40*100</f>
        <v>18.710584302104706</v>
      </c>
      <c r="G45" s="555" t="e">
        <f t="shared" ref="G45" si="28">+G44/G46*100</f>
        <v>#DIV/0!</v>
      </c>
      <c r="H45" s="554">
        <f>+H44/$H$44*100</f>
        <v>100</v>
      </c>
      <c r="I45" s="555" t="e">
        <f t="shared" ref="I45" si="29">+I44/I46*100</f>
        <v>#DIV/0!</v>
      </c>
      <c r="J45" s="549">
        <f>+H44/$H$56*100</f>
        <v>21.756871598258829</v>
      </c>
      <c r="K45" s="541"/>
      <c r="L45" s="566"/>
      <c r="M45" s="567"/>
    </row>
    <row r="46" spans="1:16" s="38" customFormat="1" ht="16.5" customHeight="1" x14ac:dyDescent="0.25">
      <c r="A46" s="530" t="s">
        <v>216</v>
      </c>
      <c r="B46" s="536">
        <v>21702.400000000001</v>
      </c>
      <c r="C46" s="537"/>
      <c r="D46" s="536"/>
      <c r="E46" s="537"/>
      <c r="F46" s="536">
        <v>1161.5999999999999</v>
      </c>
      <c r="G46" s="537"/>
      <c r="H46" s="547">
        <f>+B46+D46+F46</f>
        <v>22864</v>
      </c>
      <c r="I46" s="548"/>
      <c r="J46" s="549"/>
      <c r="K46" s="541"/>
      <c r="L46" s="566"/>
      <c r="M46" s="567"/>
    </row>
    <row r="47" spans="1:16" s="38" customFormat="1" ht="16.5" customHeight="1" x14ac:dyDescent="0.25">
      <c r="A47" s="530"/>
      <c r="B47" s="550">
        <f>+B46/$H$42*100</f>
        <v>59.85614050571467</v>
      </c>
      <c r="C47" s="551" t="e">
        <f>+C46/#REF!*100</f>
        <v>#REF!</v>
      </c>
      <c r="D47" s="550">
        <f t="shared" ref="D47" si="30">+D46/$H$42*100</f>
        <v>0</v>
      </c>
      <c r="E47" s="551" t="e">
        <f>+E46/#REF!*100</f>
        <v>#REF!</v>
      </c>
      <c r="F47" s="550">
        <f t="shared" ref="F47" si="31">+F46/$H$42*100</f>
        <v>3.2037421119985878</v>
      </c>
      <c r="G47" s="551" t="e">
        <f>+G46/#REF!*100</f>
        <v>#REF!</v>
      </c>
      <c r="H47" s="550">
        <f>+H46/$H$46*100</f>
        <v>100</v>
      </c>
      <c r="I47" s="551" t="e">
        <f>+I46/#REF!*100</f>
        <v>#REF!</v>
      </c>
      <c r="J47" s="549">
        <f>+H46/$H$56*100</f>
        <v>3.090083836634252</v>
      </c>
      <c r="K47" s="541"/>
      <c r="L47" s="566"/>
      <c r="M47" s="567"/>
    </row>
    <row r="48" spans="1:16" s="38" customFormat="1" ht="15" customHeight="1" x14ac:dyDescent="0.25">
      <c r="A48" s="509" t="s">
        <v>218</v>
      </c>
      <c r="B48" s="536">
        <f>+T5.2026!B65+T6.2026!B52</f>
        <v>21990.400000000001</v>
      </c>
      <c r="C48" s="537"/>
      <c r="D48" s="536">
        <v>0</v>
      </c>
      <c r="E48" s="537"/>
      <c r="F48" s="536">
        <f>+T5.2026!F65+T6.2026!F52</f>
        <v>1459.2000000000003</v>
      </c>
      <c r="G48" s="537"/>
      <c r="H48" s="547">
        <f>+B48+D48+F48</f>
        <v>23449.600000000002</v>
      </c>
      <c r="I48" s="548"/>
      <c r="J48" s="549"/>
      <c r="K48" s="541"/>
      <c r="L48" s="566"/>
      <c r="M48" s="567"/>
    </row>
    <row r="49" spans="1:15" s="38" customFormat="1" ht="15" customHeight="1" x14ac:dyDescent="0.25">
      <c r="A49" s="509"/>
      <c r="B49" s="554">
        <f>+B48/$H$48*100</f>
        <v>93.777292576419214</v>
      </c>
      <c r="C49" s="555" t="e">
        <f>+C48/C50*100</f>
        <v>#DIV/0!</v>
      </c>
      <c r="D49" s="554">
        <f t="shared" ref="D49" si="32">+D48/$H$48*100</f>
        <v>0</v>
      </c>
      <c r="E49" s="555" t="e">
        <f t="shared" ref="E49" si="33">+E48/E50*100</f>
        <v>#DIV/0!</v>
      </c>
      <c r="F49" s="554">
        <f t="shared" ref="F49" si="34">+F48/$H$48*100</f>
        <v>6.2227074235807862</v>
      </c>
      <c r="G49" s="555" t="e">
        <f t="shared" ref="G49" si="35">+G48/G50*100</f>
        <v>#DIV/0!</v>
      </c>
      <c r="H49" s="554">
        <f t="shared" ref="H49" si="36">+H48/$H$48*100</f>
        <v>100</v>
      </c>
      <c r="I49" s="555" t="e">
        <f t="shared" ref="I49" si="37">+I48/I50*100</f>
        <v>#DIV/0!</v>
      </c>
      <c r="J49" s="549">
        <f>+H48/$H$56*100</f>
        <v>3.1692280412674321</v>
      </c>
      <c r="K49" s="541"/>
      <c r="L49" s="566"/>
      <c r="M49" s="567"/>
    </row>
    <row r="50" spans="1:15" s="38" customFormat="1" ht="15" customHeight="1" x14ac:dyDescent="0.25">
      <c r="A50" s="530" t="s">
        <v>178</v>
      </c>
      <c r="B50" s="536">
        <f>+T5.2026!B59+T6.2026!B50</f>
        <v>81395.200000000012</v>
      </c>
      <c r="C50" s="537"/>
      <c r="D50" s="536"/>
      <c r="E50" s="537"/>
      <c r="F50" s="536">
        <v>0</v>
      </c>
      <c r="G50" s="537"/>
      <c r="H50" s="547">
        <f>+B50+D50+F50</f>
        <v>81395.200000000012</v>
      </c>
      <c r="I50" s="548"/>
      <c r="J50" s="549"/>
      <c r="K50" s="541"/>
      <c r="L50" s="566"/>
      <c r="M50" s="567"/>
    </row>
    <row r="51" spans="1:15" s="38" customFormat="1" ht="15.75" customHeight="1" x14ac:dyDescent="0.25">
      <c r="A51" s="530"/>
      <c r="B51" s="554">
        <f>+B50/$H$50*100</f>
        <v>100</v>
      </c>
      <c r="C51" s="555" t="e">
        <f>+C50/C52*100</f>
        <v>#DIV/0!</v>
      </c>
      <c r="D51" s="554">
        <f t="shared" ref="D51" si="38">+D50/$H$40*100</f>
        <v>0</v>
      </c>
      <c r="E51" s="555" t="e">
        <f t="shared" ref="E51" si="39">+E50/E52*100</f>
        <v>#DIV/0!</v>
      </c>
      <c r="F51" s="554">
        <f t="shared" ref="F51" si="40">+F50/$H$40*100</f>
        <v>0</v>
      </c>
      <c r="G51" s="555" t="e">
        <f t="shared" ref="G51" si="41">+G50/G52*100</f>
        <v>#DIV/0!</v>
      </c>
      <c r="H51" s="554">
        <f t="shared" ref="H51" si="42">+H50/$H$40*100</f>
        <v>193.26798875465394</v>
      </c>
      <c r="I51" s="555" t="e">
        <f t="shared" ref="I51" si="43">+I50/I52*100</f>
        <v>#DIV/0!</v>
      </c>
      <c r="J51" s="549">
        <f>+H50/$H$56*100</f>
        <v>11.000611962019434</v>
      </c>
      <c r="K51" s="541"/>
      <c r="L51" s="566"/>
      <c r="M51" s="567"/>
    </row>
    <row r="52" spans="1:15" s="38" customFormat="1" ht="15.75" customHeight="1" x14ac:dyDescent="0.25">
      <c r="A52" s="530" t="s">
        <v>173</v>
      </c>
      <c r="B52" s="536">
        <f>+T5.2026!B63+T6.2026!B38</f>
        <v>57808</v>
      </c>
      <c r="C52" s="537"/>
      <c r="D52" s="536"/>
      <c r="E52" s="537"/>
      <c r="F52" s="536">
        <f>+T5.2026!F63+T6.2026!F38</f>
        <v>2915.2</v>
      </c>
      <c r="G52" s="537"/>
      <c r="H52" s="547">
        <f>+B52+D52+F52</f>
        <v>60723.199999999997</v>
      </c>
      <c r="I52" s="548"/>
      <c r="J52" s="549"/>
      <c r="K52" s="541"/>
      <c r="L52" s="566"/>
      <c r="M52" s="567"/>
    </row>
    <row r="53" spans="1:15" s="38" customFormat="1" ht="16.5" customHeight="1" x14ac:dyDescent="0.25">
      <c r="A53" s="530"/>
      <c r="B53" s="550">
        <f>+B52/$H$52*100</f>
        <v>95.199198988195619</v>
      </c>
      <c r="C53" s="551" t="e">
        <f>+C52/#REF!*100</f>
        <v>#REF!</v>
      </c>
      <c r="D53" s="550">
        <f t="shared" ref="D53" si="44">+D52/$H$52*100</f>
        <v>0</v>
      </c>
      <c r="E53" s="551" t="e">
        <f>+E52/#REF!*100</f>
        <v>#REF!</v>
      </c>
      <c r="F53" s="550">
        <f t="shared" ref="F53" si="45">+F52/$H$52*100</f>
        <v>4.800801011804384</v>
      </c>
      <c r="G53" s="551" t="e">
        <f>+G52/#REF!*100</f>
        <v>#REF!</v>
      </c>
      <c r="H53" s="550">
        <f t="shared" ref="H53" si="46">+H52/$H$52*100</f>
        <v>100</v>
      </c>
      <c r="I53" s="551" t="e">
        <f>+I52/#REF!*100</f>
        <v>#REF!</v>
      </c>
      <c r="J53" s="549">
        <f>+H52/$H$56*100</f>
        <v>8.2067782902689395</v>
      </c>
      <c r="K53" s="541"/>
      <c r="L53" s="566"/>
      <c r="M53" s="567"/>
    </row>
    <row r="54" spans="1:15" s="38" customFormat="1" ht="16.5" customHeight="1" x14ac:dyDescent="0.25">
      <c r="A54" s="530" t="s">
        <v>305</v>
      </c>
      <c r="B54" s="536">
        <f>+T6.2026!B54</f>
        <v>20959.999999999996</v>
      </c>
      <c r="C54" s="537"/>
      <c r="D54" s="536"/>
      <c r="E54" s="537"/>
      <c r="F54" s="536">
        <v>1108.7999999999997</v>
      </c>
      <c r="G54" s="537"/>
      <c r="H54" s="547">
        <f>+B54+D54+F54</f>
        <v>22068.799999999996</v>
      </c>
      <c r="I54" s="548"/>
      <c r="J54" s="549"/>
      <c r="K54" s="541"/>
      <c r="L54" s="566"/>
      <c r="M54" s="567"/>
    </row>
    <row r="55" spans="1:15" s="38" customFormat="1" ht="16.5" customHeight="1" x14ac:dyDescent="0.25">
      <c r="A55" s="530"/>
      <c r="B55" s="550">
        <f>+B54/$H$54*100</f>
        <v>94.97571231784238</v>
      </c>
      <c r="C55" s="551" t="e">
        <f>+C54/#REF!*100</f>
        <v>#REF!</v>
      </c>
      <c r="D55" s="550">
        <f t="shared" ref="D55" si="47">+D54/$H$54*100</f>
        <v>0</v>
      </c>
      <c r="E55" s="551" t="e">
        <f>+E54/#REF!*100</f>
        <v>#REF!</v>
      </c>
      <c r="F55" s="550">
        <f t="shared" ref="F55" si="48">+F54/$H$54*100</f>
        <v>5.0242876821576159</v>
      </c>
      <c r="G55" s="551" t="e">
        <f>+G54/#REF!*100</f>
        <v>#REF!</v>
      </c>
      <c r="H55" s="550">
        <f t="shared" ref="H55" si="49">+H54/$H$54*100</f>
        <v>100</v>
      </c>
      <c r="I55" s="551" t="e">
        <f>+I54/#REF!*100</f>
        <v>#REF!</v>
      </c>
      <c r="J55" s="549">
        <f>+H54/$H$56*100</f>
        <v>2.9826120614902893</v>
      </c>
      <c r="K55" s="541"/>
      <c r="L55" s="566"/>
      <c r="M55" s="567"/>
    </row>
    <row r="56" spans="1:15" s="38" customFormat="1" ht="16.5" customHeight="1" x14ac:dyDescent="0.25">
      <c r="A56" s="524" t="s">
        <v>43</v>
      </c>
      <c r="B56" s="556">
        <f>+B34+B36+B38+B40+B42+B44+B46+B48+B50+B52+B54</f>
        <v>700779.2</v>
      </c>
      <c r="C56" s="529" t="e">
        <f>+#REF!+#REF!+#REF!+#REF!+#REF!+C42+C34</f>
        <v>#REF!</v>
      </c>
      <c r="D56" s="556">
        <v>0</v>
      </c>
      <c r="E56" s="529" t="e">
        <f>+#REF!+#REF!+#REF!+#REF!+#REF!+E42+E34</f>
        <v>#REF!</v>
      </c>
      <c r="F56" s="556">
        <f>+F34+F36+F38+F40+F42+F44+F46+F48+F52+F54</f>
        <v>39136</v>
      </c>
      <c r="G56" s="529" t="e">
        <f>+#REF!+#REF!+#REF!+#REF!+#REF!+G42+G34</f>
        <v>#REF!</v>
      </c>
      <c r="H56" s="556">
        <f>+B56+F56</f>
        <v>739915.2</v>
      </c>
      <c r="I56" s="529" t="e">
        <f>+#REF!+#REF!+#REF!+#REF!+#REF!+I42+I34</f>
        <v>#REF!</v>
      </c>
      <c r="J56" s="549"/>
      <c r="K56" s="541"/>
      <c r="L56" s="566"/>
      <c r="M56" s="567"/>
      <c r="N56" s="168"/>
      <c r="O56" s="168">
        <f>+H56+H83+H96</f>
        <v>1412176</v>
      </c>
    </row>
    <row r="57" spans="1:15" s="38" customFormat="1" ht="16.5" customHeight="1" x14ac:dyDescent="0.25">
      <c r="A57" s="524"/>
      <c r="B57" s="550">
        <f>+B56/$H$56*100</f>
        <v>94.710745231345427</v>
      </c>
      <c r="C57" s="551" t="e">
        <f>+C35+C43+#REF!+#REF!+#REF!+#REF!</f>
        <v>#REF!</v>
      </c>
      <c r="D57" s="550">
        <v>0</v>
      </c>
      <c r="E57" s="551" t="e">
        <f>+E35+E43+#REF!+#REF!+#REF!+#REF!</f>
        <v>#REF!</v>
      </c>
      <c r="F57" s="550">
        <f t="shared" ref="F57" si="50">+F56/$H$56*100</f>
        <v>5.2892547686545708</v>
      </c>
      <c r="G57" s="551" t="e">
        <f>+G35+G43+#REF!+#REF!+#REF!+#REF!</f>
        <v>#REF!</v>
      </c>
      <c r="H57" s="550">
        <f>+H56/$H$56*100</f>
        <v>100</v>
      </c>
      <c r="I57" s="551" t="e">
        <f>+I35+I43+#REF!+#REF!+#REF!+#REF!</f>
        <v>#REF!</v>
      </c>
      <c r="J57" s="549">
        <f>+H56/$H$56*100</f>
        <v>100</v>
      </c>
      <c r="K57" s="541"/>
      <c r="L57" s="568"/>
      <c r="M57" s="569"/>
    </row>
    <row r="58" spans="1:15" ht="16.5" customHeight="1" x14ac:dyDescent="0.25">
      <c r="A58" s="2" t="s">
        <v>215</v>
      </c>
      <c r="B58" s="7"/>
      <c r="C58" s="7"/>
      <c r="D58" s="7"/>
      <c r="E58" s="7"/>
      <c r="F58" s="7"/>
      <c r="G58" s="7"/>
      <c r="J58" s="7"/>
      <c r="K58" s="7"/>
      <c r="L58" s="7"/>
      <c r="M58" s="7"/>
      <c r="O58" s="6"/>
    </row>
    <row r="59" spans="1:15" s="38" customFormat="1" ht="14.25" customHeight="1" x14ac:dyDescent="0.25">
      <c r="A59" s="524" t="s">
        <v>32</v>
      </c>
      <c r="B59" s="542" t="s">
        <v>33</v>
      </c>
      <c r="C59" s="542"/>
      <c r="D59" s="542"/>
      <c r="E59" s="542"/>
      <c r="F59" s="542"/>
      <c r="G59" s="542"/>
      <c r="H59" s="542"/>
      <c r="I59" s="542"/>
      <c r="J59" s="543" t="s">
        <v>34</v>
      </c>
      <c r="K59" s="544"/>
      <c r="L59" s="524" t="s">
        <v>35</v>
      </c>
      <c r="M59" s="524"/>
      <c r="O59" s="316" t="s">
        <v>181</v>
      </c>
    </row>
    <row r="60" spans="1:15" s="38" customFormat="1" ht="12.75" customHeight="1" x14ac:dyDescent="0.25">
      <c r="A60" s="524"/>
      <c r="B60" s="528" t="s">
        <v>18</v>
      </c>
      <c r="C60" s="529"/>
      <c r="D60" s="528" t="s">
        <v>19</v>
      </c>
      <c r="E60" s="529"/>
      <c r="F60" s="528" t="s">
        <v>20</v>
      </c>
      <c r="G60" s="529"/>
      <c r="H60" s="528" t="s">
        <v>36</v>
      </c>
      <c r="I60" s="529"/>
      <c r="J60" s="545"/>
      <c r="K60" s="546"/>
      <c r="L60" s="524"/>
      <c r="M60" s="524"/>
    </row>
    <row r="61" spans="1:15" s="38" customFormat="1" ht="15.75" customHeight="1" x14ac:dyDescent="0.25">
      <c r="A61" s="637" t="s">
        <v>37</v>
      </c>
      <c r="B61" s="536">
        <f>+T1.2026!B49+T4.2026!B55+T5.2026!B32</f>
        <v>257729.60000000003</v>
      </c>
      <c r="C61" s="537"/>
      <c r="D61" s="536"/>
      <c r="E61" s="537"/>
      <c r="F61" s="536">
        <f>+T1.2026!F49+T4.2026!F55+T5.2026!F32</f>
        <v>25979.199999999997</v>
      </c>
      <c r="G61" s="537"/>
      <c r="H61" s="538">
        <f>+B61+D61+F61</f>
        <v>283708.80000000005</v>
      </c>
      <c r="I61" s="539"/>
      <c r="J61" s="540"/>
      <c r="K61" s="541"/>
      <c r="L61" s="564"/>
      <c r="M61" s="565"/>
    </row>
    <row r="62" spans="1:15" s="38" customFormat="1" ht="15.75" customHeight="1" x14ac:dyDescent="0.25">
      <c r="A62" s="637"/>
      <c r="B62" s="550">
        <f>+B61/$H$61*100</f>
        <v>90.843005222256053</v>
      </c>
      <c r="C62" s="551" t="e">
        <f>+C61/C83*100</f>
        <v>#REF!</v>
      </c>
      <c r="D62" s="550">
        <f t="shared" ref="D62" si="51">+D61/$H$61*100</f>
        <v>0</v>
      </c>
      <c r="E62" s="551" t="e">
        <f t="shared" ref="E62" si="52">+E61/E83*100</f>
        <v>#REF!</v>
      </c>
      <c r="F62" s="550">
        <f t="shared" ref="F62" si="53">+F61/$H$61*100</f>
        <v>9.1569947777439378</v>
      </c>
      <c r="G62" s="551" t="e">
        <f t="shared" ref="G62" si="54">+G61/G83*100</f>
        <v>#REF!</v>
      </c>
      <c r="H62" s="550">
        <f>+H61/$H$61*100</f>
        <v>100</v>
      </c>
      <c r="I62" s="551" t="e">
        <f>+I61/I83*100</f>
        <v>#REF!</v>
      </c>
      <c r="J62" s="549">
        <f>+H61/$H$83*100</f>
        <v>47.655880455815961</v>
      </c>
      <c r="K62" s="541"/>
      <c r="L62" s="566"/>
      <c r="M62" s="567"/>
    </row>
    <row r="63" spans="1:15" s="38" customFormat="1" ht="15.75" customHeight="1" x14ac:dyDescent="0.25">
      <c r="A63" s="637" t="s">
        <v>38</v>
      </c>
      <c r="B63" s="536">
        <f>+T1.2026!B59+T4.2026!B53+T5.2026!B34</f>
        <v>18536</v>
      </c>
      <c r="C63" s="537"/>
      <c r="D63" s="536"/>
      <c r="E63" s="537"/>
      <c r="F63" s="536">
        <f>+T1.2026!F59+T4.2026!F53+T5.2026!F34</f>
        <v>800</v>
      </c>
      <c r="G63" s="537"/>
      <c r="H63" s="547">
        <f>+B63+D63+F63</f>
        <v>19336</v>
      </c>
      <c r="I63" s="548"/>
      <c r="J63" s="549"/>
      <c r="K63" s="541"/>
      <c r="L63" s="566"/>
      <c r="M63" s="567"/>
    </row>
    <row r="64" spans="1:15" s="38" customFormat="1" ht="15.75" customHeight="1" x14ac:dyDescent="0.25">
      <c r="A64" s="637"/>
      <c r="B64" s="550">
        <f>+B63/$H$63*100</f>
        <v>95.862639635912288</v>
      </c>
      <c r="C64" s="551" t="e">
        <f>+C63/C71*100</f>
        <v>#DIV/0!</v>
      </c>
      <c r="D64" s="550">
        <f t="shared" ref="D64" si="55">+D63/$H$63*100</f>
        <v>0</v>
      </c>
      <c r="E64" s="551" t="e">
        <f t="shared" ref="E64" si="56">+E63/E71*100</f>
        <v>#DIV/0!</v>
      </c>
      <c r="F64" s="550">
        <f t="shared" ref="F64" si="57">+F63/$H$63*100</f>
        <v>4.1373603640877121</v>
      </c>
      <c r="G64" s="551" t="e">
        <f t="shared" ref="G64" si="58">+G63/G71*100</f>
        <v>#DIV/0!</v>
      </c>
      <c r="H64" s="550">
        <f t="shared" ref="H64" si="59">+H63/$H$63*100</f>
        <v>100</v>
      </c>
      <c r="I64" s="551" t="e">
        <f t="shared" ref="I64" si="60">+I63/I71*100</f>
        <v>#DIV/0!</v>
      </c>
      <c r="J64" s="549">
        <f t="shared" ref="J64:J84" si="61">+H63/$H$83*100</f>
        <v>3.2479574285099977</v>
      </c>
      <c r="K64" s="541"/>
      <c r="L64" s="566"/>
      <c r="M64" s="567"/>
    </row>
    <row r="65" spans="1:13" s="38" customFormat="1" ht="14.25" customHeight="1" x14ac:dyDescent="0.25">
      <c r="A65" s="644" t="s">
        <v>177</v>
      </c>
      <c r="B65" s="556">
        <f>+T1.2026!B61+T4.2026!B61+T5.2026!B36</f>
        <v>21492.799999999999</v>
      </c>
      <c r="C65" s="529"/>
      <c r="D65" s="536"/>
      <c r="E65" s="537"/>
      <c r="F65" s="536">
        <f>+T1.2026!F61+T4.2026!F61+T5.2026!F36</f>
        <v>1328</v>
      </c>
      <c r="G65" s="537"/>
      <c r="H65" s="547">
        <f>+B65+D65+F65</f>
        <v>22820.799999999999</v>
      </c>
      <c r="I65" s="548"/>
      <c r="J65" s="549"/>
      <c r="K65" s="541"/>
      <c r="L65" s="566"/>
      <c r="M65" s="567"/>
    </row>
    <row r="66" spans="1:13" s="38" customFormat="1" ht="15.75" customHeight="1" x14ac:dyDescent="0.25">
      <c r="A66" s="645"/>
      <c r="B66" s="550">
        <f>+B65/$H$65*100</f>
        <v>94.18074738834747</v>
      </c>
      <c r="C66" s="551" t="e">
        <f>+C65/#REF!*100</f>
        <v>#REF!</v>
      </c>
      <c r="D66" s="550">
        <f t="shared" ref="D66" si="62">+D65/$H$65*100</f>
        <v>0</v>
      </c>
      <c r="E66" s="551" t="e">
        <f>+E65/#REF!*100</f>
        <v>#REF!</v>
      </c>
      <c r="F66" s="550">
        <f t="shared" ref="F66" si="63">+F65/$H$65*100</f>
        <v>5.8192526116525274</v>
      </c>
      <c r="G66" s="551" t="e">
        <f>+G65/#REF!*100</f>
        <v>#REF!</v>
      </c>
      <c r="H66" s="550">
        <f t="shared" ref="H66" si="64">+H65/$H$65*100</f>
        <v>100</v>
      </c>
      <c r="I66" s="551" t="e">
        <f>+I65/#REF!*100</f>
        <v>#REF!</v>
      </c>
      <c r="J66" s="549">
        <f t="shared" si="61"/>
        <v>3.8333154160395613</v>
      </c>
      <c r="K66" s="541"/>
      <c r="L66" s="566"/>
      <c r="M66" s="567"/>
    </row>
    <row r="67" spans="1:13" s="38" customFormat="1" ht="15" customHeight="1" x14ac:dyDescent="0.25">
      <c r="A67" s="644" t="s">
        <v>40</v>
      </c>
      <c r="B67" s="536">
        <f>+T1.2026!B55+T4.2026!B49+T5.2026!B38</f>
        <v>48126.400000000001</v>
      </c>
      <c r="C67" s="537"/>
      <c r="D67" s="536"/>
      <c r="E67" s="537"/>
      <c r="F67" s="536">
        <f>+T1.2026!F55+T4.2026!F49+T5.2026!F38</f>
        <v>1625.6</v>
      </c>
      <c r="G67" s="537"/>
      <c r="H67" s="547">
        <f>+B67+D67+F67</f>
        <v>49752</v>
      </c>
      <c r="I67" s="548"/>
      <c r="J67" s="549"/>
      <c r="K67" s="541"/>
      <c r="L67" s="566"/>
      <c r="M67" s="567"/>
    </row>
    <row r="68" spans="1:13" s="38" customFormat="1" ht="15" customHeight="1" x14ac:dyDescent="0.25">
      <c r="A68" s="645"/>
      <c r="B68" s="554">
        <f>+B67/$H$67*100</f>
        <v>96.732593664576299</v>
      </c>
      <c r="C68" s="555" t="e">
        <f>+C67/C69*100</f>
        <v>#DIV/0!</v>
      </c>
      <c r="D68" s="554">
        <f t="shared" ref="D68" si="65">+D67/$H$67*100</f>
        <v>0</v>
      </c>
      <c r="E68" s="555" t="e">
        <f t="shared" ref="E68" si="66">+E67/E69*100</f>
        <v>#DIV/0!</v>
      </c>
      <c r="F68" s="554">
        <f t="shared" ref="F68" si="67">+F67/$H$67*100</f>
        <v>3.2674063354237011</v>
      </c>
      <c r="G68" s="555" t="e">
        <f t="shared" ref="G68" si="68">+G67/G69*100</f>
        <v>#DIV/0!</v>
      </c>
      <c r="H68" s="554">
        <f t="shared" ref="H68" si="69">+H67/$H$67*100</f>
        <v>100</v>
      </c>
      <c r="I68" s="555" t="e">
        <f t="shared" ref="I68" si="70">+I67/I69*100</f>
        <v>#DIV/0!</v>
      </c>
      <c r="J68" s="549">
        <f t="shared" si="61"/>
        <v>8.3570737475811665</v>
      </c>
      <c r="K68" s="541"/>
      <c r="L68" s="566"/>
      <c r="M68" s="567"/>
    </row>
    <row r="69" spans="1:13" s="38" customFormat="1" ht="15" customHeight="1" x14ac:dyDescent="0.25">
      <c r="A69" s="637" t="s">
        <v>42</v>
      </c>
      <c r="B69" s="536">
        <f>+T1.2026!B51+T4.2026!B65+T5.2026!B40</f>
        <v>73713.600000000006</v>
      </c>
      <c r="C69" s="537"/>
      <c r="D69" s="536"/>
      <c r="E69" s="537"/>
      <c r="F69" s="536">
        <f>+T1.2026!F51+T4.2026!F65+T5.2026!F40</f>
        <v>1902.4000000000003</v>
      </c>
      <c r="G69" s="537"/>
      <c r="H69" s="547">
        <f>+B69+D69+F69</f>
        <v>75616</v>
      </c>
      <c r="I69" s="548"/>
      <c r="J69" s="549"/>
      <c r="K69" s="541"/>
      <c r="L69" s="566"/>
      <c r="M69" s="567"/>
    </row>
    <row r="70" spans="1:13" s="38" customFormat="1" ht="15.75" customHeight="1" x14ac:dyDescent="0.25">
      <c r="A70" s="637"/>
      <c r="B70" s="554">
        <f>+B69/$H$69*100</f>
        <v>97.484130342784596</v>
      </c>
      <c r="C70" s="555" t="e">
        <f>+C69/C71*100</f>
        <v>#DIV/0!</v>
      </c>
      <c r="D70" s="554">
        <f t="shared" ref="D70" si="71">+D69/$H$69*100</f>
        <v>0</v>
      </c>
      <c r="E70" s="555" t="e">
        <f t="shared" ref="E70" si="72">+E69/E71*100</f>
        <v>#DIV/0!</v>
      </c>
      <c r="F70" s="554">
        <f t="shared" ref="F70" si="73">+F69/$H$69*100</f>
        <v>2.5158696572154042</v>
      </c>
      <c r="G70" s="555" t="e">
        <f t="shared" ref="G70" si="74">+G69/G71*100</f>
        <v>#DIV/0!</v>
      </c>
      <c r="H70" s="554">
        <f t="shared" ref="H70" si="75">+H69/$H$69*100</f>
        <v>100</v>
      </c>
      <c r="I70" s="555" t="e">
        <f t="shared" ref="I70" si="76">+I69/I71*100</f>
        <v>#DIV/0!</v>
      </c>
      <c r="J70" s="549">
        <f t="shared" si="61"/>
        <v>12.701569554934423</v>
      </c>
      <c r="K70" s="541"/>
      <c r="L70" s="566"/>
      <c r="M70" s="567"/>
    </row>
    <row r="71" spans="1:13" s="38" customFormat="1" ht="15.75" customHeight="1" x14ac:dyDescent="0.25">
      <c r="A71" s="637" t="s">
        <v>39</v>
      </c>
      <c r="B71" s="536">
        <f>+T4.2026!B51+T5.2026!B42</f>
        <v>22961.599999999999</v>
      </c>
      <c r="C71" s="537"/>
      <c r="D71" s="536"/>
      <c r="E71" s="537"/>
      <c r="F71" s="536">
        <f>+T4.2026!F51+T5.2026!F42</f>
        <v>745.59999999999991</v>
      </c>
      <c r="G71" s="537"/>
      <c r="H71" s="547">
        <f>+B71+D71+F71</f>
        <v>23707.199999999997</v>
      </c>
      <c r="I71" s="548"/>
      <c r="J71" s="549"/>
      <c r="K71" s="541"/>
      <c r="L71" s="566"/>
      <c r="M71" s="567"/>
    </row>
    <row r="72" spans="1:13" s="38" customFormat="1" ht="16.5" customHeight="1" x14ac:dyDescent="0.25">
      <c r="A72" s="637"/>
      <c r="B72" s="550">
        <f>+B71/$H$71*100</f>
        <v>96.854963892825822</v>
      </c>
      <c r="C72" s="551" t="e">
        <f>+C71/C83*100</f>
        <v>#REF!</v>
      </c>
      <c r="D72" s="550">
        <f t="shared" ref="D72" si="77">+D71/$H$71*100</f>
        <v>0</v>
      </c>
      <c r="E72" s="551" t="e">
        <f t="shared" ref="E72" si="78">+E71/E83*100</f>
        <v>#REF!</v>
      </c>
      <c r="F72" s="550">
        <f t="shared" ref="F72" si="79">+F71/$H$71*100</f>
        <v>3.1450361071741919</v>
      </c>
      <c r="G72" s="551" t="e">
        <f t="shared" ref="G72" si="80">+G71/G83*100</f>
        <v>#REF!</v>
      </c>
      <c r="H72" s="550">
        <f t="shared" ref="H72" si="81">+H71/$H$71*100</f>
        <v>100</v>
      </c>
      <c r="I72" s="551" t="e">
        <f t="shared" ref="I72" si="82">+I71/I83*100</f>
        <v>#REF!</v>
      </c>
      <c r="J72" s="549">
        <f t="shared" si="61"/>
        <v>3.9822081272844549</v>
      </c>
      <c r="K72" s="541"/>
      <c r="L72" s="566"/>
      <c r="M72" s="567"/>
    </row>
    <row r="73" spans="1:13" s="38" customFormat="1" ht="16.5" customHeight="1" x14ac:dyDescent="0.25">
      <c r="A73" s="637" t="s">
        <v>117</v>
      </c>
      <c r="B73" s="536">
        <f>+T4.2026!B57+T5.2026!B44</f>
        <v>54820.800000000003</v>
      </c>
      <c r="C73" s="537"/>
      <c r="D73" s="536"/>
      <c r="E73" s="537"/>
      <c r="F73" s="536">
        <f>+T4.2026!F57+T5.2026!F44</f>
        <v>2798.4</v>
      </c>
      <c r="G73" s="537"/>
      <c r="H73" s="547">
        <f>+B73+D73+F73</f>
        <v>57619.200000000004</v>
      </c>
      <c r="I73" s="548"/>
      <c r="J73" s="549"/>
      <c r="K73" s="541"/>
      <c r="L73" s="566"/>
      <c r="M73" s="567"/>
    </row>
    <row r="74" spans="1:13" s="38" customFormat="1" ht="16.5" customHeight="1" x14ac:dyDescent="0.25">
      <c r="A74" s="637"/>
      <c r="B74" s="554">
        <f>+B73/$H$73*100</f>
        <v>95.143285571476184</v>
      </c>
      <c r="C74" s="555" t="e">
        <f>+C73/C75*100</f>
        <v>#DIV/0!</v>
      </c>
      <c r="D74" s="554">
        <f t="shared" ref="D74" si="83">+D73/$H$73*100</f>
        <v>0</v>
      </c>
      <c r="E74" s="555" t="e">
        <f t="shared" ref="E74" si="84">+E73/E75*100</f>
        <v>#DIV/0!</v>
      </c>
      <c r="F74" s="554">
        <f t="shared" ref="F74" si="85">+F73/$H$73*100</f>
        <v>4.8567144285238246</v>
      </c>
      <c r="G74" s="555" t="e">
        <f t="shared" ref="G74" si="86">+G73/G75*100</f>
        <v>#DIV/0!</v>
      </c>
      <c r="H74" s="554">
        <f t="shared" ref="H74" si="87">+H73/$H$73*100</f>
        <v>100</v>
      </c>
      <c r="I74" s="555" t="e">
        <f t="shared" ref="I74" si="88">+I73/I75*100</f>
        <v>#DIV/0!</v>
      </c>
      <c r="J74" s="549">
        <f t="shared" si="61"/>
        <v>9.6785637497312411</v>
      </c>
      <c r="K74" s="541"/>
      <c r="L74" s="566"/>
      <c r="M74" s="567"/>
    </row>
    <row r="75" spans="1:13" s="38" customFormat="1" ht="15.75" customHeight="1" x14ac:dyDescent="0.25">
      <c r="A75" s="637" t="s">
        <v>216</v>
      </c>
      <c r="B75" s="536">
        <f>+T4.2026!B59+T5.2026!B46</f>
        <v>18918.399999999998</v>
      </c>
      <c r="C75" s="537"/>
      <c r="D75" s="536"/>
      <c r="E75" s="537"/>
      <c r="F75" s="536">
        <f>+T4.2026!F59+T5.2026!F46</f>
        <v>1084.8</v>
      </c>
      <c r="G75" s="537"/>
      <c r="H75" s="547">
        <f>+B75+D75+F75</f>
        <v>20003.199999999997</v>
      </c>
      <c r="I75" s="548"/>
      <c r="J75" s="549"/>
      <c r="K75" s="541"/>
      <c r="L75" s="566"/>
      <c r="M75" s="567"/>
    </row>
    <row r="76" spans="1:13" s="38" customFormat="1" ht="15.75" customHeight="1" x14ac:dyDescent="0.25">
      <c r="A76" s="637"/>
      <c r="B76" s="550">
        <f>+B75/$H$75*100</f>
        <v>94.576867701167814</v>
      </c>
      <c r="C76" s="551" t="e">
        <f>+C75/#REF!*100</f>
        <v>#REF!</v>
      </c>
      <c r="D76" s="550">
        <f t="shared" ref="D76" si="89">+D75/$H$75*100</f>
        <v>0</v>
      </c>
      <c r="E76" s="551" t="e">
        <f>+E75/#REF!*100</f>
        <v>#REF!</v>
      </c>
      <c r="F76" s="550">
        <f t="shared" ref="F76" si="90">+F75/$H$75*100</f>
        <v>5.4231322988321873</v>
      </c>
      <c r="G76" s="551" t="e">
        <f>+G75/#REF!*100</f>
        <v>#REF!</v>
      </c>
      <c r="H76" s="550">
        <f t="shared" ref="H76" si="91">+H75/$H$75*100</f>
        <v>100</v>
      </c>
      <c r="I76" s="551" t="e">
        <f>+I75/#REF!*100</f>
        <v>#REF!</v>
      </c>
      <c r="J76" s="549">
        <f t="shared" si="61"/>
        <v>3.3600301010535363</v>
      </c>
      <c r="K76" s="541"/>
      <c r="L76" s="566"/>
      <c r="M76" s="567"/>
    </row>
    <row r="77" spans="1:13" s="38" customFormat="1" ht="14.25" customHeight="1" x14ac:dyDescent="0.25">
      <c r="A77" s="637" t="s">
        <v>254</v>
      </c>
      <c r="B77" s="536">
        <v>1121.5999999999999</v>
      </c>
      <c r="C77" s="537"/>
      <c r="D77" s="536">
        <v>0</v>
      </c>
      <c r="E77" s="537"/>
      <c r="F77" s="536">
        <v>27.200000000000003</v>
      </c>
      <c r="G77" s="537"/>
      <c r="H77" s="547">
        <f>+B77+D77+F77</f>
        <v>1148.8</v>
      </c>
      <c r="I77" s="548"/>
      <c r="J77" s="549"/>
      <c r="K77" s="541"/>
      <c r="L77" s="566"/>
      <c r="M77" s="567"/>
    </row>
    <row r="78" spans="1:13" s="38" customFormat="1" ht="14.25" customHeight="1" x14ac:dyDescent="0.25">
      <c r="A78" s="637"/>
      <c r="B78" s="550">
        <f>+B77/$H$77*100</f>
        <v>97.632311977715872</v>
      </c>
      <c r="C78" s="551" t="e">
        <f>+C77/C89*100</f>
        <v>#REF!</v>
      </c>
      <c r="D78" s="550">
        <f t="shared" ref="D78" si="92">+D77/$H$77*100</f>
        <v>0</v>
      </c>
      <c r="E78" s="551" t="e">
        <f t="shared" ref="E78" si="93">+E77/E89*100</f>
        <v>#REF!</v>
      </c>
      <c r="F78" s="550">
        <f t="shared" ref="F78" si="94">+F77/$H$77*100</f>
        <v>2.3676880222841228</v>
      </c>
      <c r="G78" s="551" t="e">
        <f t="shared" ref="G78" si="95">+G77/G89*100</f>
        <v>#REF!</v>
      </c>
      <c r="H78" s="550">
        <f t="shared" ref="H78" si="96">+H77/$H$77*100</f>
        <v>100</v>
      </c>
      <c r="I78" s="551" t="e">
        <f t="shared" ref="I78" si="97">+I77/I89*100</f>
        <v>#REF!</v>
      </c>
      <c r="J78" s="549">
        <f t="shared" si="61"/>
        <v>0.19296925392388734</v>
      </c>
      <c r="K78" s="541"/>
      <c r="L78" s="566"/>
      <c r="M78" s="567"/>
    </row>
    <row r="79" spans="1:13" s="38" customFormat="1" ht="14.25" customHeight="1" x14ac:dyDescent="0.25">
      <c r="A79" s="495" t="s">
        <v>218</v>
      </c>
      <c r="B79" s="536">
        <v>1984</v>
      </c>
      <c r="C79" s="537"/>
      <c r="D79" s="536">
        <v>0</v>
      </c>
      <c r="E79" s="537"/>
      <c r="F79" s="536">
        <v>142.4</v>
      </c>
      <c r="G79" s="537"/>
      <c r="H79" s="547">
        <f>+B79+D79+F79</f>
        <v>2126.4</v>
      </c>
      <c r="I79" s="548"/>
      <c r="J79" s="549"/>
      <c r="K79" s="541"/>
      <c r="L79" s="566"/>
      <c r="M79" s="567"/>
    </row>
    <row r="80" spans="1:13" s="38" customFormat="1" ht="14.25" customHeight="1" x14ac:dyDescent="0.25">
      <c r="A80" s="495"/>
      <c r="B80" s="554">
        <f>+B79/$H$79*100</f>
        <v>93.303235515425129</v>
      </c>
      <c r="C80" s="555" t="e">
        <f>+C79/C81*100</f>
        <v>#DIV/0!</v>
      </c>
      <c r="D80" s="554">
        <f t="shared" ref="D80" si="98">+D79/$H$79*100</f>
        <v>0</v>
      </c>
      <c r="E80" s="555" t="e">
        <f t="shared" ref="E80" si="99">+E79/E81*100</f>
        <v>#DIV/0!</v>
      </c>
      <c r="F80" s="554">
        <f t="shared" ref="F80" si="100">+F79/$H$79*100</f>
        <v>6.6967644845748691</v>
      </c>
      <c r="G80" s="555" t="e">
        <f t="shared" ref="G80" si="101">+G79/G81*100</f>
        <v>#DIV/0!</v>
      </c>
      <c r="H80" s="554">
        <f t="shared" ref="H80" si="102">+H79/$H$79*100</f>
        <v>100</v>
      </c>
      <c r="I80" s="555" t="e">
        <f t="shared" ref="I80" si="103">+I79/I81*100</f>
        <v>#DIV/0!</v>
      </c>
      <c r="J80" s="549">
        <f t="shared" si="61"/>
        <v>0.35718125134379708</v>
      </c>
      <c r="K80" s="541"/>
      <c r="L80" s="566"/>
      <c r="M80" s="567"/>
    </row>
    <row r="81" spans="1:15" s="38" customFormat="1" ht="12.75" customHeight="1" x14ac:dyDescent="0.25">
      <c r="A81" s="637" t="s">
        <v>178</v>
      </c>
      <c r="B81" s="536">
        <f>+T1.2026!B63+T4.2026!B63</f>
        <v>39489.599999999999</v>
      </c>
      <c r="C81" s="537"/>
      <c r="D81" s="536"/>
      <c r="E81" s="537"/>
      <c r="F81" s="536">
        <v>0</v>
      </c>
      <c r="G81" s="537"/>
      <c r="H81" s="547">
        <f>+B81+D81+F81</f>
        <v>39489.599999999999</v>
      </c>
      <c r="I81" s="548"/>
      <c r="J81" s="549"/>
      <c r="K81" s="541"/>
      <c r="L81" s="566"/>
      <c r="M81" s="567"/>
    </row>
    <row r="82" spans="1:15" s="38" customFormat="1" ht="12.75" customHeight="1" x14ac:dyDescent="0.25">
      <c r="A82" s="637"/>
      <c r="B82" s="550">
        <f>+B81/$H$81*100</f>
        <v>100</v>
      </c>
      <c r="C82" s="551" t="e">
        <f>+C81/#REF!*100</f>
        <v>#REF!</v>
      </c>
      <c r="D82" s="550">
        <f t="shared" ref="D82" si="104">+D81/$H$81*100</f>
        <v>0</v>
      </c>
      <c r="E82" s="551" t="e">
        <f>+E81/#REF!*100</f>
        <v>#REF!</v>
      </c>
      <c r="F82" s="550">
        <f t="shared" ref="F82" si="105">+F81/$H$81*100</f>
        <v>0</v>
      </c>
      <c r="G82" s="551" t="e">
        <f>+G81/#REF!*100</f>
        <v>#REF!</v>
      </c>
      <c r="H82" s="550">
        <f t="shared" ref="H82" si="106">+H81/$H$81*100</f>
        <v>100</v>
      </c>
      <c r="I82" s="551" t="e">
        <f>+I81/#REF!*100</f>
        <v>#REF!</v>
      </c>
      <c r="J82" s="549">
        <f t="shared" si="61"/>
        <v>6.633250913781982</v>
      </c>
      <c r="K82" s="541"/>
      <c r="L82" s="566"/>
      <c r="M82" s="567"/>
    </row>
    <row r="83" spans="1:15" s="38" customFormat="1" ht="16.5" customHeight="1" x14ac:dyDescent="0.25">
      <c r="A83" s="524" t="s">
        <v>43</v>
      </c>
      <c r="B83" s="556">
        <f t="shared" ref="B83" si="107">+B61+B63+B65+B67+B69+B71+B73+B75+B77+B79+B81</f>
        <v>558894.4</v>
      </c>
      <c r="C83" s="529" t="e">
        <f>+#REF!+#REF!+#REF!+#REF!+#REF!+C71+C61</f>
        <v>#REF!</v>
      </c>
      <c r="D83" s="556">
        <f t="shared" ref="D83" si="108">+D61+D63+D65+D67+D69+D71+D73+D75+D77+D79+D81</f>
        <v>0</v>
      </c>
      <c r="E83" s="529" t="e">
        <f>+#REF!+#REF!+#REF!+#REF!+#REF!+E71+E61</f>
        <v>#REF!</v>
      </c>
      <c r="F83" s="556">
        <f t="shared" ref="F83" si="109">+F61+F63+F65+F67+F69+F71+F73+F75+F77+F79+F81</f>
        <v>36433.599999999999</v>
      </c>
      <c r="G83" s="529" t="e">
        <f>+#REF!+#REF!+#REF!+#REF!+#REF!+G71+G61</f>
        <v>#REF!</v>
      </c>
      <c r="H83" s="556">
        <f>+H61+H63+H65+H67+H69+H71+H73+H75+H77+H79+H81</f>
        <v>595328</v>
      </c>
      <c r="I83" s="529" t="e">
        <f>+#REF!+#REF!+#REF!+#REF!+#REF!+I71+I61</f>
        <v>#REF!</v>
      </c>
      <c r="J83" s="549"/>
      <c r="K83" s="541"/>
      <c r="L83" s="566"/>
      <c r="M83" s="567"/>
    </row>
    <row r="84" spans="1:15" s="38" customFormat="1" ht="17.25" customHeight="1" x14ac:dyDescent="0.25">
      <c r="A84" s="524"/>
      <c r="B84" s="550">
        <f>+B83/$H$83*100</f>
        <v>93.880079552784352</v>
      </c>
      <c r="C84" s="551" t="e">
        <f>+C62+C72+#REF!+#REF!+#REF!+#REF!</f>
        <v>#REF!</v>
      </c>
      <c r="D84" s="550">
        <f t="shared" ref="D84" si="110">+D83/$H$83*100</f>
        <v>0</v>
      </c>
      <c r="E84" s="551" t="e">
        <f>+E62+E72+#REF!+#REF!+#REF!+#REF!</f>
        <v>#REF!</v>
      </c>
      <c r="F84" s="550">
        <f t="shared" ref="F84" si="111">+F83/$H$83*100</f>
        <v>6.1199204472156525</v>
      </c>
      <c r="G84" s="551" t="e">
        <f>+G62+G72+#REF!+#REF!+#REF!+#REF!</f>
        <v>#REF!</v>
      </c>
      <c r="H84" s="550">
        <f t="shared" ref="H84" si="112">+H83/$H$83*100</f>
        <v>100</v>
      </c>
      <c r="I84" s="551" t="e">
        <f>+I62+I72+#REF!+#REF!+#REF!+#REF!</f>
        <v>#REF!</v>
      </c>
      <c r="J84" s="549">
        <f t="shared" si="61"/>
        <v>100</v>
      </c>
      <c r="K84" s="541"/>
      <c r="L84" s="568"/>
      <c r="M84" s="569"/>
    </row>
    <row r="85" spans="1:15" ht="16.5" customHeight="1" x14ac:dyDescent="0.25">
      <c r="A85" s="2" t="s">
        <v>331</v>
      </c>
      <c r="B85" s="7"/>
      <c r="C85" s="7"/>
      <c r="D85" s="7"/>
      <c r="E85" s="7"/>
      <c r="F85" s="7"/>
      <c r="G85" s="7"/>
      <c r="J85" s="7"/>
      <c r="K85" s="7"/>
      <c r="L85" s="7"/>
      <c r="M85" s="7"/>
    </row>
    <row r="86" spans="1:15" s="38" customFormat="1" ht="14.25" customHeight="1" x14ac:dyDescent="0.25">
      <c r="A86" s="524" t="s">
        <v>32</v>
      </c>
      <c r="B86" s="542" t="s">
        <v>33</v>
      </c>
      <c r="C86" s="542"/>
      <c r="D86" s="542"/>
      <c r="E86" s="542"/>
      <c r="F86" s="542"/>
      <c r="G86" s="542"/>
      <c r="H86" s="542"/>
      <c r="I86" s="542"/>
      <c r="J86" s="543" t="s">
        <v>34</v>
      </c>
      <c r="K86" s="544"/>
      <c r="L86" s="524" t="s">
        <v>35</v>
      </c>
      <c r="M86" s="524"/>
      <c r="O86" s="316" t="s">
        <v>181</v>
      </c>
    </row>
    <row r="87" spans="1:15" s="38" customFormat="1" ht="12.75" customHeight="1" x14ac:dyDescent="0.25">
      <c r="A87" s="524"/>
      <c r="B87" s="528" t="s">
        <v>18</v>
      </c>
      <c r="C87" s="529"/>
      <c r="D87" s="528" t="s">
        <v>19</v>
      </c>
      <c r="E87" s="529"/>
      <c r="F87" s="528" t="s">
        <v>20</v>
      </c>
      <c r="G87" s="529"/>
      <c r="H87" s="528" t="s">
        <v>36</v>
      </c>
      <c r="I87" s="529"/>
      <c r="J87" s="545"/>
      <c r="K87" s="546"/>
      <c r="L87" s="524"/>
      <c r="M87" s="524"/>
    </row>
    <row r="88" spans="1:15" s="38" customFormat="1" ht="15.75" customHeight="1" x14ac:dyDescent="0.25">
      <c r="A88" s="530" t="s">
        <v>37</v>
      </c>
      <c r="B88" s="536">
        <v>24246.400000000001</v>
      </c>
      <c r="C88" s="537"/>
      <c r="D88" s="536"/>
      <c r="E88" s="537"/>
      <c r="F88" s="536">
        <v>505.59999999999991</v>
      </c>
      <c r="G88" s="537"/>
      <c r="H88" s="538">
        <f>+B88+D88+F88</f>
        <v>24752</v>
      </c>
      <c r="I88" s="539"/>
      <c r="J88" s="540"/>
      <c r="K88" s="541"/>
      <c r="L88" s="564"/>
      <c r="M88" s="565"/>
    </row>
    <row r="89" spans="1:15" s="38" customFormat="1" ht="15.75" customHeight="1" x14ac:dyDescent="0.25">
      <c r="A89" s="530"/>
      <c r="B89" s="550">
        <f>+B88/$H$88*100</f>
        <v>97.9573367808662</v>
      </c>
      <c r="C89" s="551" t="e">
        <f>+C88/#REF!*100</f>
        <v>#REF!</v>
      </c>
      <c r="D89" s="550">
        <f t="shared" ref="D89" si="113">+D88/$H$88*100</f>
        <v>0</v>
      </c>
      <c r="E89" s="551" t="e">
        <f>+E88/#REF!*100</f>
        <v>#REF!</v>
      </c>
      <c r="F89" s="550">
        <f t="shared" ref="F89" si="114">+F88/$H$88*100</f>
        <v>2.0426632191338072</v>
      </c>
      <c r="G89" s="551" t="e">
        <f>+G88/#REF!*100</f>
        <v>#REF!</v>
      </c>
      <c r="H89" s="550">
        <f t="shared" ref="H89" si="115">+H88/$H$88*100</f>
        <v>100</v>
      </c>
      <c r="I89" s="551" t="e">
        <f>+I88/#REF!*100</f>
        <v>#REF!</v>
      </c>
      <c r="J89" s="550">
        <f>+H88/$H$96*100</f>
        <v>32.173533265395257</v>
      </c>
      <c r="K89" s="551" t="e">
        <f>+K88/#REF!*100</f>
        <v>#REF!</v>
      </c>
      <c r="L89" s="566"/>
      <c r="M89" s="567"/>
    </row>
    <row r="90" spans="1:15" s="38" customFormat="1" ht="15.75" customHeight="1" x14ac:dyDescent="0.25">
      <c r="A90" s="651" t="s">
        <v>39</v>
      </c>
      <c r="B90" s="536">
        <v>16392</v>
      </c>
      <c r="C90" s="537"/>
      <c r="D90" s="536"/>
      <c r="E90" s="537"/>
      <c r="F90" s="536">
        <v>185.60000000000002</v>
      </c>
      <c r="G90" s="537"/>
      <c r="H90" s="547">
        <f>+B90+D90+F90</f>
        <v>16577.599999999999</v>
      </c>
      <c r="I90" s="548"/>
      <c r="J90" s="550"/>
      <c r="K90" s="551"/>
      <c r="L90" s="566"/>
      <c r="M90" s="567"/>
    </row>
    <row r="91" spans="1:15" s="38" customFormat="1" ht="15.75" customHeight="1" x14ac:dyDescent="0.25">
      <c r="A91" s="652"/>
      <c r="B91" s="653">
        <f>+B90/$H$90*100</f>
        <v>98.880416948171032</v>
      </c>
      <c r="C91" s="669" t="e">
        <f>+C90/C96*100</f>
        <v>#DIV/0!</v>
      </c>
      <c r="D91" s="653">
        <f t="shared" ref="D91" si="116">+D90/$H$90*100</f>
        <v>0</v>
      </c>
      <c r="E91" s="669" t="e">
        <f t="shared" ref="E91" si="117">+E90/E96*100</f>
        <v>#DIV/0!</v>
      </c>
      <c r="F91" s="653">
        <f t="shared" ref="F91" si="118">+F90/$H$90*100</f>
        <v>1.1195830518289742</v>
      </c>
      <c r="G91" s="669" t="e">
        <f t="shared" ref="G91" si="119">+G90/G96*100</f>
        <v>#DIV/0!</v>
      </c>
      <c r="H91" s="653">
        <f t="shared" ref="H91" si="120">+H90/$H$90*100</f>
        <v>100</v>
      </c>
      <c r="I91" s="669" t="e">
        <f t="shared" ref="I91" si="121">+I90/I96*100</f>
        <v>#DIV/0!</v>
      </c>
      <c r="J91" s="550">
        <f>+H90/$H$96*100</f>
        <v>21.548156313042028</v>
      </c>
      <c r="K91" s="551" t="e">
        <f>+K90/#REF!*100</f>
        <v>#REF!</v>
      </c>
      <c r="L91" s="566"/>
      <c r="M91" s="567"/>
    </row>
    <row r="92" spans="1:15" s="38" customFormat="1" ht="16.5" customHeight="1" x14ac:dyDescent="0.25">
      <c r="A92" s="655" t="s">
        <v>40</v>
      </c>
      <c r="B92" s="536">
        <v>6236.8</v>
      </c>
      <c r="C92" s="537"/>
      <c r="D92" s="536"/>
      <c r="E92" s="537"/>
      <c r="F92" s="536">
        <v>91.2</v>
      </c>
      <c r="G92" s="537"/>
      <c r="H92" s="547">
        <f>+B92+D92+F92</f>
        <v>6328</v>
      </c>
      <c r="I92" s="548"/>
      <c r="J92" s="550"/>
      <c r="K92" s="551"/>
      <c r="L92" s="566"/>
      <c r="M92" s="567"/>
    </row>
    <row r="93" spans="1:15" s="38" customFormat="1" ht="16.5" customHeight="1" x14ac:dyDescent="0.25">
      <c r="A93" s="656"/>
      <c r="B93" s="550">
        <f>+B92/$H$92*100</f>
        <v>98.558786346396971</v>
      </c>
      <c r="C93" s="551" t="e">
        <f>+C92/#REF!*100</f>
        <v>#REF!</v>
      </c>
      <c r="D93" s="550">
        <f t="shared" ref="D93" si="122">+D92/$H$92*100</f>
        <v>0</v>
      </c>
      <c r="E93" s="551" t="e">
        <f>+E92/#REF!*100</f>
        <v>#REF!</v>
      </c>
      <c r="F93" s="550">
        <f t="shared" ref="F93" si="123">+F92/$H$92*100</f>
        <v>1.4412136536030342</v>
      </c>
      <c r="G93" s="551" t="e">
        <f>+G92/#REF!*100</f>
        <v>#REF!</v>
      </c>
      <c r="H93" s="550">
        <f t="shared" ref="H93" si="124">+H92/$H$92*100</f>
        <v>100</v>
      </c>
      <c r="I93" s="551" t="e">
        <f>+I92/#REF!*100</f>
        <v>#REF!</v>
      </c>
      <c r="J93" s="550">
        <f>+H92/$H$96*100</f>
        <v>8.2253603144562515</v>
      </c>
      <c r="K93" s="551" t="e">
        <f>+K92/#REF!*100</f>
        <v>#REF!</v>
      </c>
      <c r="L93" s="566"/>
      <c r="M93" s="567"/>
    </row>
    <row r="94" spans="1:15" s="38" customFormat="1" ht="15" customHeight="1" x14ac:dyDescent="0.25">
      <c r="A94" s="651" t="s">
        <v>117</v>
      </c>
      <c r="B94" s="536">
        <v>28852.799999999996</v>
      </c>
      <c r="C94" s="537"/>
      <c r="D94" s="536"/>
      <c r="E94" s="537"/>
      <c r="F94" s="536">
        <v>422.40000000000009</v>
      </c>
      <c r="G94" s="537"/>
      <c r="H94" s="547">
        <f>+B94+D94+F94</f>
        <v>29275.199999999997</v>
      </c>
      <c r="I94" s="548"/>
      <c r="J94" s="550"/>
      <c r="K94" s="551"/>
      <c r="L94" s="566"/>
      <c r="M94" s="567"/>
    </row>
    <row r="95" spans="1:15" s="38" customFormat="1" ht="15" customHeight="1" x14ac:dyDescent="0.25">
      <c r="A95" s="652"/>
      <c r="B95" s="554">
        <f>+B94/$H$94*100</f>
        <v>98.557140514838494</v>
      </c>
      <c r="C95" s="555" t="e">
        <f>+C94/#REF!*100</f>
        <v>#REF!</v>
      </c>
      <c r="D95" s="554">
        <f t="shared" ref="D95" si="125">+D94/$H$94*100</f>
        <v>0</v>
      </c>
      <c r="E95" s="555" t="e">
        <f>+E94/#REF!*100</f>
        <v>#REF!</v>
      </c>
      <c r="F95" s="554">
        <f t="shared" ref="F95" si="126">+F94/$H$94*100</f>
        <v>1.4428594851615022</v>
      </c>
      <c r="G95" s="555" t="e">
        <f>+G94/#REF!*100</f>
        <v>#REF!</v>
      </c>
      <c r="H95" s="554">
        <f t="shared" ref="H95" si="127">+H94/$H$94*100</f>
        <v>100</v>
      </c>
      <c r="I95" s="555" t="e">
        <f>+I94/#REF!*100</f>
        <v>#REF!</v>
      </c>
      <c r="J95" s="550">
        <f>+H94/$H$96*100</f>
        <v>38.052950107106462</v>
      </c>
      <c r="K95" s="551" t="e">
        <f>+K94/#REF!*100</f>
        <v>#REF!</v>
      </c>
      <c r="L95" s="566"/>
      <c r="M95" s="567"/>
    </row>
    <row r="96" spans="1:15" s="38" customFormat="1" ht="15.75" customHeight="1" x14ac:dyDescent="0.25">
      <c r="A96" s="524" t="s">
        <v>43</v>
      </c>
      <c r="B96" s="665">
        <f>+B88+B90+B92+B94</f>
        <v>75728</v>
      </c>
      <c r="C96" s="666"/>
      <c r="D96" s="665"/>
      <c r="E96" s="666"/>
      <c r="F96" s="665">
        <f>+F94+F92+F90+F88</f>
        <v>1204.8000000000002</v>
      </c>
      <c r="G96" s="666"/>
      <c r="H96" s="667">
        <f>+B96+D96+F96</f>
        <v>76932.800000000003</v>
      </c>
      <c r="I96" s="668"/>
      <c r="J96" s="550"/>
      <c r="K96" s="551"/>
      <c r="L96" s="566"/>
      <c r="M96" s="567"/>
    </row>
    <row r="97" spans="1:15" s="38" customFormat="1" ht="16.5" customHeight="1" x14ac:dyDescent="0.25">
      <c r="A97" s="524"/>
      <c r="B97" s="550">
        <f>+B96/$H$96*100</f>
        <v>98.433957947715399</v>
      </c>
      <c r="C97" s="551" t="e">
        <f>+C96/#REF!*100</f>
        <v>#REF!</v>
      </c>
      <c r="D97" s="550">
        <f t="shared" ref="D97" si="128">+D96/$H$96*100</f>
        <v>0</v>
      </c>
      <c r="E97" s="551" t="e">
        <f>+E96/#REF!*100</f>
        <v>#REF!</v>
      </c>
      <c r="F97" s="550">
        <f t="shared" ref="F97" si="129">+F96/$H$96*100</f>
        <v>1.5660420522845913</v>
      </c>
      <c r="G97" s="551" t="e">
        <f>+G96/#REF!*100</f>
        <v>#REF!</v>
      </c>
      <c r="H97" s="550">
        <f t="shared" ref="H97" si="130">+H96/$H$96*100</f>
        <v>100</v>
      </c>
      <c r="I97" s="551" t="e">
        <f>+I96/#REF!*100</f>
        <v>#REF!</v>
      </c>
      <c r="J97" s="550">
        <f>+H96/$H$96*100</f>
        <v>100</v>
      </c>
      <c r="K97" s="551" t="e">
        <f>+K96/#REF!*100</f>
        <v>#REF!</v>
      </c>
      <c r="L97" s="568"/>
      <c r="M97" s="569"/>
    </row>
    <row r="98" spans="1:15" ht="16.5" customHeight="1" x14ac:dyDescent="0.25">
      <c r="A98" s="2" t="s">
        <v>31</v>
      </c>
      <c r="B98" s="7"/>
      <c r="C98" s="7"/>
      <c r="D98" s="7"/>
      <c r="E98" s="7"/>
      <c r="F98" s="7"/>
      <c r="G98" s="7"/>
      <c r="J98" s="7"/>
      <c r="K98" s="7"/>
      <c r="L98" s="7"/>
      <c r="M98" s="7"/>
    </row>
    <row r="99" spans="1:15" s="38" customFormat="1" ht="17.25" customHeight="1" x14ac:dyDescent="0.25">
      <c r="A99" s="524" t="s">
        <v>32</v>
      </c>
      <c r="B99" s="542" t="s">
        <v>33</v>
      </c>
      <c r="C99" s="542"/>
      <c r="D99" s="542"/>
      <c r="E99" s="542"/>
      <c r="F99" s="542"/>
      <c r="G99" s="542"/>
      <c r="H99" s="542"/>
      <c r="I99" s="542"/>
      <c r="J99" s="543" t="s">
        <v>34</v>
      </c>
      <c r="K99" s="544"/>
      <c r="L99" s="524" t="s">
        <v>35</v>
      </c>
      <c r="M99" s="524"/>
      <c r="N99" s="316" t="s">
        <v>150</v>
      </c>
    </row>
    <row r="100" spans="1:15" s="38" customFormat="1" ht="17.25" customHeight="1" x14ac:dyDescent="0.25">
      <c r="A100" s="524"/>
      <c r="B100" s="528" t="s">
        <v>18</v>
      </c>
      <c r="C100" s="529"/>
      <c r="D100" s="528" t="s">
        <v>19</v>
      </c>
      <c r="E100" s="529"/>
      <c r="F100" s="528" t="s">
        <v>20</v>
      </c>
      <c r="G100" s="529"/>
      <c r="H100" s="528" t="s">
        <v>36</v>
      </c>
      <c r="I100" s="529"/>
      <c r="J100" s="545"/>
      <c r="K100" s="546"/>
      <c r="L100" s="524"/>
      <c r="M100" s="524"/>
    </row>
    <row r="101" spans="1:15" s="38" customFormat="1" ht="17.25" customHeight="1" x14ac:dyDescent="0.25">
      <c r="A101" s="530" t="s">
        <v>37</v>
      </c>
      <c r="B101" s="536">
        <f>+T3.2026!B22+T4.2026!B28+T6.2026!B74</f>
        <v>314635.5</v>
      </c>
      <c r="C101" s="537"/>
      <c r="D101" s="536">
        <v>0</v>
      </c>
      <c r="E101" s="537"/>
      <c r="F101" s="536">
        <f>+T3.2026!F22+T4.2026!F28+T6.2026!F74</f>
        <v>2532</v>
      </c>
      <c r="G101" s="537"/>
      <c r="H101" s="538">
        <f>+B101+D101+F101</f>
        <v>317167.5</v>
      </c>
      <c r="I101" s="539"/>
      <c r="J101" s="540"/>
      <c r="K101" s="541"/>
      <c r="L101" s="564"/>
      <c r="M101" s="565"/>
    </row>
    <row r="102" spans="1:15" s="38" customFormat="1" ht="17.25" customHeight="1" x14ac:dyDescent="0.25">
      <c r="A102" s="530"/>
      <c r="B102" s="550">
        <f>+B101/$H$101*100</f>
        <v>99.201683652959389</v>
      </c>
      <c r="C102" s="551" t="e">
        <f>+C101/C117*100</f>
        <v>#REF!</v>
      </c>
      <c r="D102" s="550">
        <f t="shared" ref="D102" si="131">+D101/$H$101*100</f>
        <v>0</v>
      </c>
      <c r="E102" s="551" t="e">
        <f t="shared" ref="E102" si="132">+E101/E117*100</f>
        <v>#REF!</v>
      </c>
      <c r="F102" s="550">
        <f t="shared" ref="F102" si="133">+F101/$H$101*100</f>
        <v>0.79831634704060161</v>
      </c>
      <c r="G102" s="551" t="e">
        <f t="shared" ref="G102" si="134">+G101/G117*100</f>
        <v>#REF!</v>
      </c>
      <c r="H102" s="550">
        <f t="shared" ref="H102" si="135">+H101/$H$101*100</f>
        <v>100</v>
      </c>
      <c r="I102" s="551" t="e">
        <f t="shared" ref="I102" si="136">+I101/I117*100</f>
        <v>#REF!</v>
      </c>
      <c r="J102" s="549">
        <f>+H101/$H$117*100</f>
        <v>50.371752082693099</v>
      </c>
      <c r="K102" s="541"/>
      <c r="L102" s="566"/>
      <c r="M102" s="567"/>
    </row>
    <row r="103" spans="1:15" s="38" customFormat="1" ht="17.25" customHeight="1" x14ac:dyDescent="0.25">
      <c r="A103" s="530" t="s">
        <v>38</v>
      </c>
      <c r="B103" s="536">
        <f>+T3.2026!B24+T4.2026!B30</f>
        <v>41400</v>
      </c>
      <c r="C103" s="537"/>
      <c r="D103" s="536">
        <v>0</v>
      </c>
      <c r="E103" s="537"/>
      <c r="F103" s="536">
        <f>+T3.2026!F24+T4.2026!F30</f>
        <v>198</v>
      </c>
      <c r="G103" s="537"/>
      <c r="H103" s="547">
        <f>+B103+D103+F103</f>
        <v>41598</v>
      </c>
      <c r="I103" s="548"/>
      <c r="J103" s="549"/>
      <c r="K103" s="541"/>
      <c r="L103" s="566"/>
      <c r="M103" s="567"/>
    </row>
    <row r="104" spans="1:15" s="38" customFormat="1" ht="17.25" customHeight="1" x14ac:dyDescent="0.25">
      <c r="A104" s="530"/>
      <c r="B104" s="550">
        <f>+B103/$H$103*100</f>
        <v>99.524015577672003</v>
      </c>
      <c r="C104" s="551" t="e">
        <f>+C103/C111*100</f>
        <v>#DIV/0!</v>
      </c>
      <c r="D104" s="550">
        <f t="shared" ref="D104" si="137">+D103/$H$103*100</f>
        <v>0</v>
      </c>
      <c r="E104" s="551" t="e">
        <f t="shared" ref="E104" si="138">+E103/E111*100</f>
        <v>#DIV/0!</v>
      </c>
      <c r="F104" s="550">
        <f t="shared" ref="F104" si="139">+F103/$H$103*100</f>
        <v>0.47598442232799659</v>
      </c>
      <c r="G104" s="551" t="e">
        <f t="shared" ref="G104" si="140">+G103/G111*100</f>
        <v>#DIV/0!</v>
      </c>
      <c r="H104" s="550">
        <f t="shared" ref="H104" si="141">+H103/$H$103*100</f>
        <v>100</v>
      </c>
      <c r="I104" s="551" t="e">
        <f t="shared" ref="I104" si="142">+I103/I111*100</f>
        <v>#DIV/0!</v>
      </c>
      <c r="J104" s="549">
        <f>+H103/$H$117*100</f>
        <v>6.6064907127491548</v>
      </c>
      <c r="K104" s="541"/>
      <c r="L104" s="566"/>
      <c r="M104" s="567"/>
    </row>
    <row r="105" spans="1:15" s="38" customFormat="1" ht="17.25" customHeight="1" x14ac:dyDescent="0.25">
      <c r="A105" s="530" t="s">
        <v>39</v>
      </c>
      <c r="B105" s="556">
        <f>+T3.2026!B26+T4.2026!B38</f>
        <v>31627.5</v>
      </c>
      <c r="C105" s="529"/>
      <c r="D105" s="536">
        <v>0</v>
      </c>
      <c r="E105" s="537"/>
      <c r="F105" s="536">
        <f>+T3.2026!F26+T4.2026!F38</f>
        <v>94.5</v>
      </c>
      <c r="G105" s="537"/>
      <c r="H105" s="547">
        <f>+B105+D105+F105</f>
        <v>31722</v>
      </c>
      <c r="I105" s="548"/>
      <c r="J105" s="549"/>
      <c r="K105" s="541"/>
      <c r="L105" s="566"/>
      <c r="M105" s="567"/>
    </row>
    <row r="106" spans="1:15" s="38" customFormat="1" ht="17.25" customHeight="1" x14ac:dyDescent="0.25">
      <c r="A106" s="530"/>
      <c r="B106" s="550">
        <f>+B105/$H$105*100</f>
        <v>99.702099489313412</v>
      </c>
      <c r="C106" s="551" t="e">
        <f>+C105/#REF!*100</f>
        <v>#REF!</v>
      </c>
      <c r="D106" s="550">
        <f t="shared" ref="D106" si="143">+D105/$H$105*100</f>
        <v>0</v>
      </c>
      <c r="E106" s="551" t="e">
        <f>+E105/#REF!*100</f>
        <v>#REF!</v>
      </c>
      <c r="F106" s="550">
        <f t="shared" ref="F106" si="144">+F105/$H$105*100</f>
        <v>0.29790051068658974</v>
      </c>
      <c r="G106" s="551" t="e">
        <f>+G105/#REF!*100</f>
        <v>#REF!</v>
      </c>
      <c r="H106" s="550">
        <f t="shared" ref="H106" si="145">+H105/$H$105*100</f>
        <v>100</v>
      </c>
      <c r="I106" s="551" t="e">
        <f>+I105/#REF!*100</f>
        <v>#REF!</v>
      </c>
      <c r="J106" s="549">
        <f>+H105/$H$117*100</f>
        <v>5.0380090001881994</v>
      </c>
      <c r="K106" s="541"/>
      <c r="L106" s="566"/>
      <c r="M106" s="567"/>
    </row>
    <row r="107" spans="1:15" s="38" customFormat="1" ht="17.25" customHeight="1" x14ac:dyDescent="0.25">
      <c r="A107" s="655" t="s">
        <v>40</v>
      </c>
      <c r="B107" s="536">
        <f>+T3.2026!B28+T4.2026!B34</f>
        <v>79455</v>
      </c>
      <c r="C107" s="537"/>
      <c r="D107" s="536">
        <v>0</v>
      </c>
      <c r="E107" s="537"/>
      <c r="F107" s="536">
        <f>+T3.2026!F28+T4.2026!F34</f>
        <v>577.5</v>
      </c>
      <c r="G107" s="537"/>
      <c r="H107" s="547">
        <f>+B107+D107+F107</f>
        <v>80032.5</v>
      </c>
      <c r="I107" s="548"/>
      <c r="J107" s="549"/>
      <c r="K107" s="541"/>
      <c r="L107" s="566"/>
      <c r="M107" s="567"/>
    </row>
    <row r="108" spans="1:15" s="38" customFormat="1" ht="17.25" customHeight="1" x14ac:dyDescent="0.25">
      <c r="A108" s="656"/>
      <c r="B108" s="554">
        <f>+B107/$H$107*100</f>
        <v>99.278418142629548</v>
      </c>
      <c r="C108" s="555" t="e">
        <f>+C107/C109*100</f>
        <v>#DIV/0!</v>
      </c>
      <c r="D108" s="554">
        <f t="shared" ref="D108" si="146">+D107/$H$107*100</f>
        <v>0</v>
      </c>
      <c r="E108" s="555" t="e">
        <f t="shared" ref="E108" si="147">+E107/E109*100</f>
        <v>#DIV/0!</v>
      </c>
      <c r="F108" s="554">
        <f t="shared" ref="F108" si="148">+F107/$H$107*100</f>
        <v>0.72158185737044322</v>
      </c>
      <c r="G108" s="555" t="e">
        <f t="shared" ref="G108" si="149">+G107/G109*100</f>
        <v>#DIV/0!</v>
      </c>
      <c r="H108" s="554">
        <f t="shared" ref="H108" si="150">+H107/$H$107*100</f>
        <v>100</v>
      </c>
      <c r="I108" s="555" t="e">
        <f t="shared" ref="I108" si="151">+I107/I109*100</f>
        <v>#DIV/0!</v>
      </c>
      <c r="J108" s="549">
        <f>+H107/$H$117*100</f>
        <v>12.71056223780222</v>
      </c>
      <c r="K108" s="541"/>
      <c r="L108" s="566"/>
      <c r="M108" s="567"/>
    </row>
    <row r="109" spans="1:15" s="38" customFormat="1" ht="17.25" customHeight="1" x14ac:dyDescent="0.25">
      <c r="A109" s="655" t="s">
        <v>41</v>
      </c>
      <c r="B109" s="536">
        <f>+T3.2026!B30+T4.2026!B32</f>
        <v>53445</v>
      </c>
      <c r="C109" s="537"/>
      <c r="D109" s="536">
        <v>0</v>
      </c>
      <c r="E109" s="537"/>
      <c r="F109" s="536">
        <f>+T3.2026!F30+T4.2026!F32</f>
        <v>126</v>
      </c>
      <c r="G109" s="537"/>
      <c r="H109" s="547">
        <f>+B109+D109+F109</f>
        <v>53571</v>
      </c>
      <c r="I109" s="548"/>
      <c r="J109" s="549"/>
      <c r="K109" s="541"/>
      <c r="L109" s="566"/>
      <c r="M109" s="567"/>
    </row>
    <row r="110" spans="1:15" s="38" customFormat="1" ht="17.25" customHeight="1" x14ac:dyDescent="0.25">
      <c r="A110" s="656"/>
      <c r="B110" s="554">
        <f>+B109/$H$109*100</f>
        <v>99.764798118384945</v>
      </c>
      <c r="C110" s="555" t="e">
        <f>+C109/C111*100</f>
        <v>#DIV/0!</v>
      </c>
      <c r="D110" s="554">
        <f t="shared" ref="D110" si="152">+D109/$H$109*100</f>
        <v>0</v>
      </c>
      <c r="E110" s="555" t="e">
        <f t="shared" ref="E110" si="153">+E109/E111*100</f>
        <v>#DIV/0!</v>
      </c>
      <c r="F110" s="554">
        <f t="shared" ref="F110" si="154">+F109/$H$109*100</f>
        <v>0.2352018816150529</v>
      </c>
      <c r="G110" s="555" t="e">
        <f t="shared" ref="G110" si="155">+G109/G111*100</f>
        <v>#DIV/0!</v>
      </c>
      <c r="H110" s="554">
        <f t="shared" ref="H110" si="156">+H109/$H$109*100</f>
        <v>100</v>
      </c>
      <c r="I110" s="555" t="e">
        <f t="shared" ref="I110" si="157">+I109/I111*100</f>
        <v>#DIV/0!</v>
      </c>
      <c r="J110" s="549">
        <f>+H109/$H$117*100</f>
        <v>8.5080127403405204</v>
      </c>
      <c r="K110" s="541"/>
      <c r="L110" s="566"/>
      <c r="M110" s="567"/>
      <c r="O110" s="168">
        <f>+T3.2026!H34+T4.2026!H44+T6.2026!H78</f>
        <v>629653.5</v>
      </c>
    </row>
    <row r="111" spans="1:15" s="38" customFormat="1" ht="17.25" customHeight="1" x14ac:dyDescent="0.25">
      <c r="A111" s="530" t="s">
        <v>42</v>
      </c>
      <c r="B111" s="536">
        <f>+T3.2026!B32+T4.2026!B36</f>
        <v>71341.5</v>
      </c>
      <c r="C111" s="537"/>
      <c r="D111" s="536">
        <v>0</v>
      </c>
      <c r="E111" s="537"/>
      <c r="F111" s="536">
        <f>+T3.2026!F32+T4.2026!F36</f>
        <v>318</v>
      </c>
      <c r="G111" s="537"/>
      <c r="H111" s="547">
        <f>+B111+D111+F111</f>
        <v>71659.5</v>
      </c>
      <c r="I111" s="548"/>
      <c r="J111" s="549"/>
      <c r="K111" s="541"/>
      <c r="L111" s="566"/>
      <c r="M111" s="567"/>
    </row>
    <row r="112" spans="1:15" s="38" customFormat="1" ht="17.25" customHeight="1" x14ac:dyDescent="0.25">
      <c r="A112" s="530"/>
      <c r="B112" s="550">
        <f>+B111/$H$111*100</f>
        <v>99.55623469323676</v>
      </c>
      <c r="C112" s="551" t="e">
        <f>+C111/C117*100</f>
        <v>#REF!</v>
      </c>
      <c r="D112" s="550">
        <f t="shared" ref="D112" si="158">+D111/$H$111*100</f>
        <v>0</v>
      </c>
      <c r="E112" s="551" t="e">
        <f t="shared" ref="E112" si="159">+E111/E117*100</f>
        <v>#REF!</v>
      </c>
      <c r="F112" s="550">
        <f t="shared" ref="F112" si="160">+F111/$H$111*100</f>
        <v>0.4437653067632345</v>
      </c>
      <c r="G112" s="551" t="e">
        <f t="shared" ref="G112" si="161">+G111/G117*100</f>
        <v>#REF!</v>
      </c>
      <c r="H112" s="550">
        <f t="shared" ref="H112" si="162">+H111/$H$111*100</f>
        <v>100</v>
      </c>
      <c r="I112" s="551" t="e">
        <f t="shared" ref="I112" si="163">+I111/I117*100</f>
        <v>#REF!</v>
      </c>
      <c r="J112" s="549">
        <f>+H111/$H$117*100</f>
        <v>11.380783240305977</v>
      </c>
      <c r="K112" s="541"/>
      <c r="L112" s="566"/>
      <c r="M112" s="567"/>
    </row>
    <row r="113" spans="1:18" s="38" customFormat="1" ht="17.25" customHeight="1" x14ac:dyDescent="0.25">
      <c r="A113" s="530" t="s">
        <v>173</v>
      </c>
      <c r="B113" s="536">
        <f>+T4.2026!B40+T6.2026!B76</f>
        <v>17697</v>
      </c>
      <c r="C113" s="537"/>
      <c r="D113" s="536">
        <v>0</v>
      </c>
      <c r="E113" s="537"/>
      <c r="F113" s="536">
        <f>+T4.2026!F40+T6.2026!F76</f>
        <v>91.5</v>
      </c>
      <c r="G113" s="537"/>
      <c r="H113" s="547">
        <f>+B113+D113+F113</f>
        <v>17788.5</v>
      </c>
      <c r="I113" s="548"/>
      <c r="J113" s="549"/>
      <c r="K113" s="541"/>
      <c r="L113" s="566"/>
      <c r="M113" s="567"/>
    </row>
    <row r="114" spans="1:18" s="38" customFormat="1" ht="17.25" customHeight="1" x14ac:dyDescent="0.25">
      <c r="A114" s="530"/>
      <c r="B114" s="554">
        <f>+B113/$H$113*100</f>
        <v>99.485622733788688</v>
      </c>
      <c r="C114" s="555" t="e">
        <f>+C113/C115*100</f>
        <v>#DIV/0!</v>
      </c>
      <c r="D114" s="554">
        <f t="shared" ref="D114" si="164">+D113/$H$113*100</f>
        <v>0</v>
      </c>
      <c r="E114" s="555" t="e">
        <f t="shared" ref="E114" si="165">+E113/E115*100</f>
        <v>#DIV/0!</v>
      </c>
      <c r="F114" s="554">
        <f t="shared" ref="F114" si="166">+F113/$H$113*100</f>
        <v>0.5143772662113163</v>
      </c>
      <c r="G114" s="555" t="e">
        <f t="shared" ref="G114" si="167">+G113/G115*100</f>
        <v>#DIV/0!</v>
      </c>
      <c r="H114" s="554">
        <f t="shared" ref="H114" si="168">+H113/$H$113*100</f>
        <v>100</v>
      </c>
      <c r="I114" s="555" t="e">
        <f t="shared" ref="I114" si="169">+I113/I115*100</f>
        <v>#DIV/0!</v>
      </c>
      <c r="J114" s="549">
        <f>+H113/$H$117*100</f>
        <v>2.8251252474575304</v>
      </c>
      <c r="K114" s="541"/>
      <c r="L114" s="566"/>
      <c r="M114" s="567"/>
    </row>
    <row r="115" spans="1:18" s="38" customFormat="1" ht="17.25" customHeight="1" x14ac:dyDescent="0.25">
      <c r="A115" s="530" t="s">
        <v>174</v>
      </c>
      <c r="B115" s="536">
        <f>+T4.2026!B42</f>
        <v>16030.5</v>
      </c>
      <c r="C115" s="537"/>
      <c r="D115" s="536">
        <v>0</v>
      </c>
      <c r="E115" s="537"/>
      <c r="F115" s="536">
        <v>84</v>
      </c>
      <c r="G115" s="537"/>
      <c r="H115" s="547">
        <f>+B115+D115+F115</f>
        <v>16114.5</v>
      </c>
      <c r="I115" s="548"/>
      <c r="J115" s="549"/>
      <c r="K115" s="541"/>
      <c r="L115" s="566"/>
      <c r="M115" s="567"/>
    </row>
    <row r="116" spans="1:18" s="38" customFormat="1" ht="17.25" customHeight="1" x14ac:dyDescent="0.25">
      <c r="A116" s="530"/>
      <c r="B116" s="550">
        <f>+B115/$H$115*100</f>
        <v>99.478730336032754</v>
      </c>
      <c r="C116" s="551" t="e">
        <f>+C115/#REF!*100</f>
        <v>#REF!</v>
      </c>
      <c r="D116" s="550">
        <f t="shared" ref="D116" si="170">+D115/$H$115*100</f>
        <v>0</v>
      </c>
      <c r="E116" s="551" t="e">
        <f>+E115/#REF!*100</f>
        <v>#REF!</v>
      </c>
      <c r="F116" s="550">
        <f t="shared" ref="F116" si="171">+F115/$H$115*100</f>
        <v>0.52126966396723451</v>
      </c>
      <c r="G116" s="551" t="e">
        <f>+G115/#REF!*100</f>
        <v>#REF!</v>
      </c>
      <c r="H116" s="550">
        <f t="shared" ref="H116" si="172">+H115/$H$115*100</f>
        <v>100</v>
      </c>
      <c r="I116" s="551" t="e">
        <f>+I115/#REF!*100</f>
        <v>#REF!</v>
      </c>
      <c r="J116" s="549">
        <f>+H115/$H$117*100</f>
        <v>2.5592647384632978</v>
      </c>
      <c r="K116" s="541"/>
      <c r="L116" s="566"/>
      <c r="M116" s="567"/>
    </row>
    <row r="117" spans="1:18" s="38" customFormat="1" ht="17.25" customHeight="1" x14ac:dyDescent="0.25">
      <c r="A117" s="524" t="s">
        <v>43</v>
      </c>
      <c r="B117" s="556">
        <f>+B101+B103+B105+B107+B109+B111+B113+B115</f>
        <v>625632</v>
      </c>
      <c r="C117" s="529" t="e">
        <f>+#REF!+#REF!+#REF!+#REF!+#REF!+C111+C101</f>
        <v>#REF!</v>
      </c>
      <c r="D117" s="556">
        <f t="shared" ref="D117" si="173">+D101+D103+D105+D107+D109+D111</f>
        <v>0</v>
      </c>
      <c r="E117" s="529" t="e">
        <f>+#REF!+#REF!+#REF!+#REF!+#REF!+E111+E101</f>
        <v>#REF!</v>
      </c>
      <c r="F117" s="556">
        <f>+F101+F103+F105+F107+F109+F111+F113+F115</f>
        <v>4021.5</v>
      </c>
      <c r="G117" s="529" t="e">
        <f>+#REF!+#REF!+#REF!+#REF!+#REF!+G111+G101</f>
        <v>#REF!</v>
      </c>
      <c r="H117" s="556">
        <f>+H101+H103+H105+H107+H109+H111+H113+H115</f>
        <v>629653.5</v>
      </c>
      <c r="I117" s="529" t="e">
        <f>+#REF!+#REF!+#REF!+#REF!+#REF!+I111+I101</f>
        <v>#REF!</v>
      </c>
      <c r="J117" s="549"/>
      <c r="K117" s="541"/>
      <c r="L117" s="566"/>
      <c r="M117" s="567"/>
    </row>
    <row r="118" spans="1:18" s="38" customFormat="1" ht="17.25" customHeight="1" x14ac:dyDescent="0.25">
      <c r="A118" s="524"/>
      <c r="B118" s="550">
        <f>+B117/$H$117*100</f>
        <v>99.361315390131239</v>
      </c>
      <c r="C118" s="551" t="e">
        <f>+C102+C112+#REF!+#REF!+#REF!+#REF!</f>
        <v>#REF!</v>
      </c>
      <c r="D118" s="550">
        <f t="shared" ref="D118" si="174">+D117/$H$117*100</f>
        <v>0</v>
      </c>
      <c r="E118" s="551" t="e">
        <f>+E102+E112+#REF!+#REF!+#REF!+#REF!</f>
        <v>#REF!</v>
      </c>
      <c r="F118" s="550">
        <f t="shared" ref="F118" si="175">+F117/$H$117*100</f>
        <v>0.63868460986876119</v>
      </c>
      <c r="G118" s="551" t="e">
        <f>+G102+G112+#REF!+#REF!+#REF!+#REF!</f>
        <v>#REF!</v>
      </c>
      <c r="H118" s="550">
        <f t="shared" ref="H118" si="176">+H117/$H$117*100</f>
        <v>100</v>
      </c>
      <c r="I118" s="551" t="e">
        <f>+I102+I112+#REF!+#REF!+#REF!+#REF!</f>
        <v>#REF!</v>
      </c>
      <c r="J118" s="549">
        <f>+H117/$H$117*100</f>
        <v>100</v>
      </c>
      <c r="K118" s="541"/>
      <c r="L118" s="568"/>
      <c r="M118" s="569"/>
    </row>
    <row r="119" spans="1:18" ht="18" customHeight="1" x14ac:dyDescent="0.25">
      <c r="A119" s="1" t="s">
        <v>334</v>
      </c>
      <c r="B119" s="7"/>
      <c r="C119" s="7"/>
      <c r="D119" s="7"/>
      <c r="E119" s="7"/>
      <c r="F119" s="7"/>
      <c r="G119" s="7"/>
      <c r="J119" s="7"/>
      <c r="K119" s="7"/>
      <c r="L119" s="7"/>
      <c r="M119" s="7"/>
    </row>
    <row r="120" spans="1:18" ht="16.5" customHeight="1" x14ac:dyDescent="0.25">
      <c r="A120" s="1" t="s">
        <v>45</v>
      </c>
      <c r="B120" s="7"/>
      <c r="C120" s="7"/>
      <c r="D120" s="7"/>
      <c r="E120" s="7"/>
      <c r="F120" s="7"/>
      <c r="G120" s="7"/>
      <c r="J120" s="7"/>
      <c r="K120" s="7"/>
      <c r="L120" s="7"/>
      <c r="M120" s="7"/>
    </row>
    <row r="121" spans="1:18" ht="18" customHeight="1" x14ac:dyDescent="0.25">
      <c r="A121" s="2" t="s">
        <v>46</v>
      </c>
      <c r="B121" s="39"/>
      <c r="C121" s="39"/>
      <c r="D121" s="39"/>
      <c r="E121" s="40"/>
      <c r="F121" s="41"/>
      <c r="G121" s="42"/>
      <c r="H121" s="42"/>
      <c r="I121" s="43"/>
      <c r="J121" s="44"/>
      <c r="K121" s="2"/>
      <c r="L121" s="2"/>
      <c r="M121" s="7"/>
      <c r="N121" s="18" t="s">
        <v>150</v>
      </c>
      <c r="O121" s="45"/>
      <c r="R121" s="46"/>
    </row>
    <row r="122" spans="1:18" ht="23.25" customHeight="1" x14ac:dyDescent="0.25">
      <c r="A122" s="320" t="s">
        <v>47</v>
      </c>
      <c r="B122" s="524" t="s">
        <v>48</v>
      </c>
      <c r="C122" s="524"/>
      <c r="D122" s="320" t="s">
        <v>17</v>
      </c>
      <c r="E122" s="320" t="s">
        <v>49</v>
      </c>
      <c r="F122" s="320" t="s">
        <v>50</v>
      </c>
      <c r="G122" s="528" t="s">
        <v>51</v>
      </c>
      <c r="H122" s="529"/>
      <c r="I122" s="320" t="s">
        <v>52</v>
      </c>
      <c r="J122" s="320" t="s">
        <v>53</v>
      </c>
      <c r="K122" s="528" t="s">
        <v>35</v>
      </c>
      <c r="L122" s="557"/>
      <c r="M122" s="529"/>
      <c r="N122" s="47" t="s">
        <v>54</v>
      </c>
      <c r="O122" s="48">
        <f>+H56+H83+H96</f>
        <v>1412176</v>
      </c>
      <c r="P122" s="47" t="s">
        <v>13</v>
      </c>
      <c r="Q122" s="47">
        <v>1296</v>
      </c>
      <c r="R122" s="46"/>
    </row>
    <row r="123" spans="1:18" ht="30" customHeight="1" x14ac:dyDescent="0.25">
      <c r="A123" s="11">
        <v>1</v>
      </c>
      <c r="B123" s="681" t="s">
        <v>340</v>
      </c>
      <c r="C123" s="681"/>
      <c r="D123" s="322" t="s">
        <v>56</v>
      </c>
      <c r="E123" s="32">
        <v>21.01</v>
      </c>
      <c r="F123" s="51">
        <f>+G123/$O$125</f>
        <v>20.449256435158748</v>
      </c>
      <c r="G123" s="559">
        <v>15130715.665071771</v>
      </c>
      <c r="H123" s="560"/>
      <c r="I123" s="159">
        <f>+(E123-F123)*$O$125</f>
        <v>414902.68692822888</v>
      </c>
      <c r="J123" s="323">
        <v>0</v>
      </c>
      <c r="K123" s="561" t="s">
        <v>338</v>
      </c>
      <c r="L123" s="562"/>
      <c r="M123" s="563"/>
      <c r="N123" s="327" t="s">
        <v>335</v>
      </c>
      <c r="O123" s="328">
        <v>76932.800000000003</v>
      </c>
      <c r="P123" s="55"/>
      <c r="Q123" s="55"/>
      <c r="R123" s="46"/>
    </row>
    <row r="124" spans="1:18" ht="27.75" customHeight="1" x14ac:dyDescent="0.25">
      <c r="A124" s="11">
        <v>1</v>
      </c>
      <c r="B124" s="572" t="s">
        <v>343</v>
      </c>
      <c r="C124" s="572"/>
      <c r="D124" s="322" t="s">
        <v>56</v>
      </c>
      <c r="E124" s="32">
        <v>21.01</v>
      </c>
      <c r="F124" s="51">
        <f>+G124/$O$126</f>
        <v>20.129993918615366</v>
      </c>
      <c r="G124" s="559">
        <v>11983949.019581448</v>
      </c>
      <c r="H124" s="560"/>
      <c r="I124" s="159">
        <f>+(E124-F124)*$O$126</f>
        <v>523892.26041855244</v>
      </c>
      <c r="J124" s="323">
        <v>0</v>
      </c>
      <c r="K124" s="561" t="s">
        <v>336</v>
      </c>
      <c r="L124" s="562"/>
      <c r="M124" s="563"/>
      <c r="N124" s="327" t="s">
        <v>58</v>
      </c>
      <c r="O124" s="328"/>
      <c r="P124" s="55"/>
      <c r="Q124" s="55"/>
      <c r="R124" s="46"/>
    </row>
    <row r="125" spans="1:18" ht="15.75" customHeight="1" x14ac:dyDescent="0.25">
      <c r="A125" s="11">
        <v>2</v>
      </c>
      <c r="B125" s="572" t="s">
        <v>346</v>
      </c>
      <c r="C125" s="572"/>
      <c r="D125" s="322" t="s">
        <v>56</v>
      </c>
      <c r="E125" s="63">
        <v>0.50700000000000001</v>
      </c>
      <c r="F125" s="57">
        <f>+G125/$O$125</f>
        <v>0.35610513204756439</v>
      </c>
      <c r="G125" s="559">
        <v>263487.59999999998</v>
      </c>
      <c r="H125" s="560"/>
      <c r="I125" s="159">
        <f>+(E125-F125)*$O$125</f>
        <v>111649.40639999998</v>
      </c>
      <c r="J125" s="323">
        <v>0</v>
      </c>
      <c r="K125" s="58"/>
      <c r="L125" s="58"/>
      <c r="M125" s="59"/>
      <c r="N125" s="327" t="s">
        <v>341</v>
      </c>
      <c r="O125" s="328">
        <v>739915.2</v>
      </c>
      <c r="P125" s="55"/>
      <c r="Q125" s="60"/>
      <c r="R125" s="46"/>
    </row>
    <row r="126" spans="1:18" ht="15.75" customHeight="1" x14ac:dyDescent="0.25">
      <c r="A126" s="11">
        <v>3</v>
      </c>
      <c r="B126" s="572" t="s">
        <v>347</v>
      </c>
      <c r="C126" s="572"/>
      <c r="D126" s="322" t="s">
        <v>56</v>
      </c>
      <c r="E126" s="63">
        <v>0.47799999999999998</v>
      </c>
      <c r="F126" s="57">
        <f>+G126/$O$125</f>
        <v>0.40620411636360498</v>
      </c>
      <c r="G126" s="559">
        <v>300556.60000000003</v>
      </c>
      <c r="H126" s="560"/>
      <c r="I126" s="159">
        <f>+(E126-F126)*$O$125</f>
        <v>53122.865599999925</v>
      </c>
      <c r="J126" s="323"/>
      <c r="K126" s="58"/>
      <c r="L126" s="58"/>
      <c r="M126" s="61"/>
      <c r="N126" s="329" t="s">
        <v>342</v>
      </c>
      <c r="O126" s="330">
        <v>595328</v>
      </c>
      <c r="R126" s="46"/>
    </row>
    <row r="127" spans="1:18" ht="15.75" customHeight="1" x14ac:dyDescent="0.25">
      <c r="A127" s="11">
        <v>2</v>
      </c>
      <c r="B127" s="572" t="s">
        <v>344</v>
      </c>
      <c r="C127" s="572"/>
      <c r="D127" s="322" t="s">
        <v>56</v>
      </c>
      <c r="E127" s="63">
        <v>0.50700000000000001</v>
      </c>
      <c r="F127" s="57">
        <f>+G127/$O$126</f>
        <v>0.45117239236185758</v>
      </c>
      <c r="G127" s="559">
        <v>268595.55799999996</v>
      </c>
      <c r="H127" s="560"/>
      <c r="I127" s="159">
        <f>+(E127-F127)*$O$126</f>
        <v>33235.738000000056</v>
      </c>
      <c r="J127" s="323">
        <v>0</v>
      </c>
      <c r="K127" s="58"/>
      <c r="L127" s="58"/>
      <c r="M127" s="59"/>
      <c r="N127" s="54"/>
      <c r="O127" s="55"/>
      <c r="P127" s="55"/>
      <c r="Q127" s="60"/>
      <c r="R127" s="46"/>
    </row>
    <row r="128" spans="1:18" ht="15.75" customHeight="1" x14ac:dyDescent="0.25">
      <c r="A128" s="11">
        <v>3</v>
      </c>
      <c r="B128" s="572" t="s">
        <v>345</v>
      </c>
      <c r="C128" s="572"/>
      <c r="D128" s="322" t="s">
        <v>56</v>
      </c>
      <c r="E128" s="63">
        <v>0.47799999999999998</v>
      </c>
      <c r="F128" s="57">
        <f>+G128/$O$126</f>
        <v>0.27493146635132232</v>
      </c>
      <c r="G128" s="559">
        <v>163674.40000000002</v>
      </c>
      <c r="H128" s="560"/>
      <c r="I128" s="159">
        <f>+(E128-F128)*$O$126</f>
        <v>120892.38399999998</v>
      </c>
      <c r="J128" s="323">
        <v>0</v>
      </c>
      <c r="K128" s="58"/>
      <c r="L128" s="58"/>
      <c r="M128" s="61"/>
      <c r="O128" s="45"/>
      <c r="R128" s="46"/>
    </row>
    <row r="129" spans="1:19" ht="15.75" customHeight="1" x14ac:dyDescent="0.25">
      <c r="A129" s="11">
        <v>4</v>
      </c>
      <c r="B129" s="572" t="s">
        <v>315</v>
      </c>
      <c r="C129" s="572"/>
      <c r="D129" s="322" t="s">
        <v>56</v>
      </c>
      <c r="E129" s="63">
        <v>0.35399999999999998</v>
      </c>
      <c r="F129" s="57">
        <f>+G129/$O$123</f>
        <v>0.32083324667761992</v>
      </c>
      <c r="G129" s="559">
        <v>24682.6</v>
      </c>
      <c r="H129" s="560"/>
      <c r="I129" s="159">
        <f>+(E129-F129)*$O$123</f>
        <v>2551.6112000000007</v>
      </c>
      <c r="J129" s="323">
        <v>0</v>
      </c>
      <c r="K129" s="58"/>
      <c r="L129" s="58"/>
      <c r="M129" s="59"/>
      <c r="N129" s="54"/>
      <c r="O129" s="55"/>
      <c r="P129" s="55"/>
      <c r="Q129" s="60"/>
      <c r="R129" s="46"/>
    </row>
    <row r="130" spans="1:19" ht="15.75" customHeight="1" x14ac:dyDescent="0.25">
      <c r="A130" s="11">
        <v>5</v>
      </c>
      <c r="B130" s="572" t="s">
        <v>316</v>
      </c>
      <c r="C130" s="572"/>
      <c r="D130" s="322" t="s">
        <v>56</v>
      </c>
      <c r="E130" s="63">
        <v>0.33200000000000002</v>
      </c>
      <c r="F130" s="57">
        <f>+G130/$O$123</f>
        <v>0.31629032090343778</v>
      </c>
      <c r="G130" s="559">
        <v>24333.1</v>
      </c>
      <c r="H130" s="560"/>
      <c r="I130" s="159">
        <f>+(E130-F130)*$O$123</f>
        <v>1208.5896000000032</v>
      </c>
      <c r="J130" s="323">
        <v>0</v>
      </c>
      <c r="K130" s="58"/>
      <c r="L130" s="58"/>
      <c r="M130" s="61"/>
      <c r="O130" s="45"/>
      <c r="R130" s="46"/>
    </row>
    <row r="131" spans="1:19" ht="15.75" customHeight="1" x14ac:dyDescent="0.25">
      <c r="A131" s="11">
        <v>6</v>
      </c>
      <c r="B131" s="638" t="s">
        <v>61</v>
      </c>
      <c r="C131" s="639"/>
      <c r="D131" s="322" t="s">
        <v>62</v>
      </c>
      <c r="E131" s="63">
        <v>0.627</v>
      </c>
      <c r="F131" s="57">
        <f>+G131/$O$122</f>
        <v>0.58857323733019118</v>
      </c>
      <c r="G131" s="559">
        <v>831169</v>
      </c>
      <c r="H131" s="560"/>
      <c r="I131" s="159">
        <f>+(E131-F131)*$O$122</f>
        <v>54265.351999999941</v>
      </c>
      <c r="J131" s="323">
        <v>0</v>
      </c>
      <c r="K131" s="570"/>
      <c r="L131" s="571"/>
      <c r="M131" s="551"/>
      <c r="N131" s="64"/>
      <c r="O131" s="169"/>
      <c r="P131" s="170"/>
      <c r="R131" s="46"/>
    </row>
    <row r="132" spans="1:19" ht="15.75" customHeight="1" x14ac:dyDescent="0.25">
      <c r="A132" s="11">
        <v>7</v>
      </c>
      <c r="B132" s="572" t="s">
        <v>63</v>
      </c>
      <c r="C132" s="572"/>
      <c r="D132" s="322" t="s">
        <v>56</v>
      </c>
      <c r="E132" s="63">
        <v>2.5000000000000001E-2</v>
      </c>
      <c r="F132" s="57">
        <f t="shared" ref="F132:F138" si="177">+G132/$O$122</f>
        <v>2.1817393865920395E-2</v>
      </c>
      <c r="G132" s="559">
        <v>30810</v>
      </c>
      <c r="H132" s="560"/>
      <c r="I132" s="159">
        <f t="shared" ref="I132:I139" si="178">+(E132-F132)*$O$122</f>
        <v>4494.4000000000015</v>
      </c>
      <c r="J132" s="323">
        <v>0</v>
      </c>
      <c r="K132" s="570"/>
      <c r="L132" s="571"/>
      <c r="M132" s="551"/>
      <c r="N132" s="64"/>
      <c r="O132" s="171"/>
      <c r="P132" s="60"/>
      <c r="Q132" s="325">
        <v>226358.44</v>
      </c>
      <c r="R132" s="46"/>
    </row>
    <row r="133" spans="1:19" ht="15.75" customHeight="1" x14ac:dyDescent="0.25">
      <c r="A133" s="11">
        <v>8</v>
      </c>
      <c r="B133" s="572" t="s">
        <v>64</v>
      </c>
      <c r="C133" s="572"/>
      <c r="D133" s="322" t="s">
        <v>56</v>
      </c>
      <c r="E133" s="158">
        <v>1.09E-2</v>
      </c>
      <c r="F133" s="66">
        <f t="shared" si="177"/>
        <v>1.0458328140401763E-2</v>
      </c>
      <c r="G133" s="559">
        <v>14769</v>
      </c>
      <c r="H133" s="560"/>
      <c r="I133" s="159">
        <f t="shared" si="178"/>
        <v>623.71840000000054</v>
      </c>
      <c r="J133" s="323">
        <v>0</v>
      </c>
      <c r="K133" s="58"/>
      <c r="L133" s="58"/>
      <c r="M133" s="59"/>
      <c r="O133" s="45"/>
      <c r="Q133" s="325">
        <v>271440.7</v>
      </c>
      <c r="R133" s="46"/>
    </row>
    <row r="134" spans="1:19" ht="15.75" customHeight="1" x14ac:dyDescent="0.25">
      <c r="A134" s="11">
        <v>9</v>
      </c>
      <c r="B134" s="572" t="s">
        <v>65</v>
      </c>
      <c r="C134" s="572"/>
      <c r="D134" s="322" t="s">
        <v>56</v>
      </c>
      <c r="E134" s="32">
        <v>1.79</v>
      </c>
      <c r="F134" s="317">
        <f>+G134/$O$122</f>
        <v>1.5563276213884754</v>
      </c>
      <c r="G134" s="578">
        <v>2197808.5150618916</v>
      </c>
      <c r="H134" s="579"/>
      <c r="I134" s="159">
        <f t="shared" si="178"/>
        <v>329986.52493810846</v>
      </c>
      <c r="J134" s="323">
        <v>0</v>
      </c>
      <c r="K134" s="580"/>
      <c r="L134" s="581"/>
      <c r="M134" s="582"/>
      <c r="O134" s="45"/>
      <c r="Q134" s="325">
        <v>497799.14</v>
      </c>
      <c r="R134" s="46"/>
    </row>
    <row r="135" spans="1:19" ht="15.75" customHeight="1" x14ac:dyDescent="0.25">
      <c r="A135" s="11">
        <v>10</v>
      </c>
      <c r="B135" s="572" t="s">
        <v>67</v>
      </c>
      <c r="C135" s="572"/>
      <c r="D135" s="322" t="s">
        <v>56</v>
      </c>
      <c r="E135" s="158">
        <v>8.2000000000000007E-3</v>
      </c>
      <c r="F135" s="57">
        <f>+G135/$O$122</f>
        <v>9.6184894800648083E-2</v>
      </c>
      <c r="G135" s="559">
        <v>135830</v>
      </c>
      <c r="H135" s="560"/>
      <c r="I135" s="159"/>
      <c r="J135" s="323">
        <f>+(F135-E135)*$O$122</f>
        <v>124250.15680000001</v>
      </c>
      <c r="K135" s="58"/>
      <c r="L135" s="58"/>
      <c r="M135" s="59"/>
      <c r="O135" s="6">
        <f>+O131/G137</f>
        <v>0</v>
      </c>
      <c r="R135" s="46"/>
    </row>
    <row r="136" spans="1:19" ht="15.75" customHeight="1" x14ac:dyDescent="0.25">
      <c r="A136" s="11">
        <v>11</v>
      </c>
      <c r="B136" s="572" t="s">
        <v>68</v>
      </c>
      <c r="C136" s="572"/>
      <c r="D136" s="322" t="s">
        <v>62</v>
      </c>
      <c r="E136" s="63">
        <v>6.4000000000000001E-2</v>
      </c>
      <c r="F136" s="57">
        <f t="shared" si="177"/>
        <v>4.0678357371885659E-2</v>
      </c>
      <c r="G136" s="559">
        <v>57445</v>
      </c>
      <c r="H136" s="560"/>
      <c r="I136" s="159">
        <f t="shared" si="178"/>
        <v>32934.263999999996</v>
      </c>
      <c r="J136" s="323"/>
      <c r="K136" s="58"/>
      <c r="L136" s="58"/>
      <c r="M136" s="59"/>
      <c r="O136" s="45">
        <f>+O122/G137</f>
        <v>64.754952311078497</v>
      </c>
      <c r="R136" s="46"/>
    </row>
    <row r="137" spans="1:19" ht="15.75" customHeight="1" x14ac:dyDescent="0.25">
      <c r="A137" s="11">
        <v>12</v>
      </c>
      <c r="B137" s="572" t="s">
        <v>69</v>
      </c>
      <c r="C137" s="572"/>
      <c r="D137" s="322" t="s">
        <v>62</v>
      </c>
      <c r="E137" s="158">
        <v>1.5900000000000001E-2</v>
      </c>
      <c r="F137" s="66">
        <f t="shared" si="177"/>
        <v>1.54428343209345E-2</v>
      </c>
      <c r="G137" s="559">
        <v>21808</v>
      </c>
      <c r="H137" s="560"/>
      <c r="I137" s="159">
        <f t="shared" si="178"/>
        <v>645.59840000000247</v>
      </c>
      <c r="J137" s="323"/>
      <c r="K137" s="573"/>
      <c r="L137" s="573"/>
      <c r="M137" s="59"/>
      <c r="N137" s="64"/>
      <c r="O137" s="45"/>
      <c r="R137" s="46"/>
    </row>
    <row r="138" spans="1:19" ht="29.25" customHeight="1" x14ac:dyDescent="0.25">
      <c r="A138" s="11">
        <v>13</v>
      </c>
      <c r="B138" s="572" t="s">
        <v>71</v>
      </c>
      <c r="C138" s="572"/>
      <c r="D138" s="322" t="s">
        <v>56</v>
      </c>
      <c r="E138" s="63">
        <v>4.3999999999999997E-2</v>
      </c>
      <c r="F138" s="57">
        <f t="shared" si="177"/>
        <v>5.4791329126114591E-2</v>
      </c>
      <c r="G138" s="574">
        <v>77375</v>
      </c>
      <c r="H138" s="575"/>
      <c r="I138" s="159"/>
      <c r="J138" s="323">
        <f t="shared" ref="J138" si="179">+(F138-E138)*$O$122</f>
        <v>15239.256000000001</v>
      </c>
      <c r="K138" s="561" t="s">
        <v>226</v>
      </c>
      <c r="L138" s="576"/>
      <c r="M138" s="577"/>
      <c r="O138" s="45"/>
      <c r="R138" s="46"/>
    </row>
    <row r="139" spans="1:19" ht="15.75" customHeight="1" x14ac:dyDescent="0.25">
      <c r="A139" s="11">
        <v>14</v>
      </c>
      <c r="B139" s="638" t="s">
        <v>72</v>
      </c>
      <c r="C139" s="639"/>
      <c r="D139" s="322" t="s">
        <v>56</v>
      </c>
      <c r="E139" s="158">
        <v>2.5999999999999999E-3</v>
      </c>
      <c r="F139" s="66">
        <f>+G139/$O$122</f>
        <v>1.2108972252750365E-3</v>
      </c>
      <c r="G139" s="574">
        <v>1710</v>
      </c>
      <c r="H139" s="575"/>
      <c r="I139" s="159">
        <f t="shared" si="178"/>
        <v>1961.6575999999998</v>
      </c>
      <c r="J139" s="323">
        <v>0</v>
      </c>
      <c r="K139" s="67"/>
      <c r="L139" s="67"/>
      <c r="M139" s="68"/>
      <c r="O139" s="45"/>
      <c r="R139" s="46"/>
    </row>
    <row r="140" spans="1:19" ht="22.5" customHeight="1" x14ac:dyDescent="0.25">
      <c r="A140" s="2" t="s">
        <v>73</v>
      </c>
      <c r="B140" s="7"/>
      <c r="C140" s="7"/>
      <c r="D140" s="7"/>
      <c r="E140" s="7"/>
      <c r="F140" s="7"/>
      <c r="G140" s="7"/>
      <c r="J140" s="7"/>
      <c r="K140" s="7"/>
      <c r="L140" s="7"/>
      <c r="M140" s="7"/>
      <c r="N140" s="326"/>
    </row>
    <row r="141" spans="1:19" ht="33" customHeight="1" x14ac:dyDescent="0.25">
      <c r="A141" s="320" t="s">
        <v>47</v>
      </c>
      <c r="B141" s="524" t="s">
        <v>48</v>
      </c>
      <c r="C141" s="524"/>
      <c r="D141" s="320" t="s">
        <v>17</v>
      </c>
      <c r="E141" s="320" t="s">
        <v>49</v>
      </c>
      <c r="F141" s="320" t="s">
        <v>50</v>
      </c>
      <c r="G141" s="528" t="s">
        <v>51</v>
      </c>
      <c r="H141" s="529"/>
      <c r="I141" s="320" t="s">
        <v>52</v>
      </c>
      <c r="J141" s="320" t="s">
        <v>53</v>
      </c>
      <c r="K141" s="528" t="s">
        <v>35</v>
      </c>
      <c r="L141" s="557"/>
      <c r="M141" s="529"/>
      <c r="N141" s="47" t="s">
        <v>54</v>
      </c>
      <c r="O141" s="48">
        <f>+H117</f>
        <v>629653.5</v>
      </c>
      <c r="P141" s="47" t="s">
        <v>13</v>
      </c>
      <c r="Q141" s="47">
        <f>+Q142+Q143</f>
        <v>729</v>
      </c>
    </row>
    <row r="142" spans="1:19" ht="31.5" customHeight="1" x14ac:dyDescent="0.25">
      <c r="A142" s="11">
        <v>1</v>
      </c>
      <c r="B142" s="585" t="s">
        <v>74</v>
      </c>
      <c r="C142" s="585"/>
      <c r="D142" s="322" t="s">
        <v>56</v>
      </c>
      <c r="E142" s="32">
        <v>21.26</v>
      </c>
      <c r="F142" s="51">
        <f>+G142/$O$141</f>
        <v>20.854982907265665</v>
      </c>
      <c r="G142" s="578">
        <f>+T3.2026!G54+T4.2026!G73+T6.2026!G84</f>
        <v>13131412.98</v>
      </c>
      <c r="H142" s="579"/>
      <c r="I142" s="324">
        <f t="shared" ref="I142:I150" si="180">+(E142-F142)*$O$141</f>
        <v>255020.42999999961</v>
      </c>
      <c r="J142" s="321">
        <f t="shared" ref="J142:J157" si="181">+(F142-E142)*$O$74</f>
        <v>0</v>
      </c>
      <c r="K142" s="561" t="s">
        <v>339</v>
      </c>
      <c r="L142" s="562"/>
      <c r="M142" s="563"/>
      <c r="N142" s="54" t="s">
        <v>76</v>
      </c>
      <c r="O142" s="55"/>
      <c r="P142" s="55"/>
      <c r="Q142" s="55">
        <f>+[3]T4!$J$35</f>
        <v>729</v>
      </c>
      <c r="R142" s="46"/>
    </row>
    <row r="143" spans="1:19" ht="18" customHeight="1" x14ac:dyDescent="0.25">
      <c r="A143" s="11">
        <v>2</v>
      </c>
      <c r="B143" s="572" t="s">
        <v>77</v>
      </c>
      <c r="C143" s="572"/>
      <c r="D143" s="322" t="s">
        <v>56</v>
      </c>
      <c r="E143" s="63">
        <v>0.28000000000000003</v>
      </c>
      <c r="F143" s="57">
        <f t="shared" ref="F143:F157" si="182">+G143/$O$141</f>
        <v>0.25321035299573497</v>
      </c>
      <c r="G143" s="578">
        <f>+T3.2026!G55+T4.2026!G74+T6.2026!G85</f>
        <v>159434.785</v>
      </c>
      <c r="H143" s="579"/>
      <c r="I143" s="324">
        <f t="shared" si="180"/>
        <v>16868.195000000011</v>
      </c>
      <c r="J143" s="321">
        <f t="shared" si="181"/>
        <v>0</v>
      </c>
      <c r="K143" s="561"/>
      <c r="L143" s="562"/>
      <c r="M143" s="563"/>
      <c r="N143" s="54"/>
      <c r="O143" s="55"/>
      <c r="P143" s="55"/>
      <c r="Q143" s="55"/>
      <c r="R143" s="46"/>
    </row>
    <row r="144" spans="1:19" ht="18" hidden="1" customHeight="1" x14ac:dyDescent="0.25">
      <c r="A144" s="11">
        <v>3</v>
      </c>
      <c r="B144" s="638" t="s">
        <v>79</v>
      </c>
      <c r="C144" s="639"/>
      <c r="D144" s="322" t="s">
        <v>56</v>
      </c>
      <c r="E144" s="63">
        <v>0.39</v>
      </c>
      <c r="F144" s="57">
        <f t="shared" si="182"/>
        <v>0</v>
      </c>
      <c r="G144" s="559"/>
      <c r="H144" s="560"/>
      <c r="I144" s="324">
        <f t="shared" si="180"/>
        <v>245564.86500000002</v>
      </c>
      <c r="J144" s="321">
        <f t="shared" si="181"/>
        <v>0</v>
      </c>
      <c r="K144" s="58"/>
      <c r="L144" s="58"/>
      <c r="M144" s="61"/>
      <c r="N144" s="71"/>
      <c r="O144" s="71"/>
      <c r="P144" s="71"/>
      <c r="R144" s="46"/>
      <c r="S144" s="6" t="e">
        <f>+I144/G144*100</f>
        <v>#DIV/0!</v>
      </c>
    </row>
    <row r="145" spans="1:19" ht="18" customHeight="1" x14ac:dyDescent="0.25">
      <c r="A145" s="11">
        <v>3</v>
      </c>
      <c r="B145" s="572" t="s">
        <v>80</v>
      </c>
      <c r="C145" s="572"/>
      <c r="D145" s="322" t="s">
        <v>56</v>
      </c>
      <c r="E145" s="63">
        <v>9.8000000000000004E-2</v>
      </c>
      <c r="F145" s="57">
        <f t="shared" si="182"/>
        <v>9.3646934385340497E-2</v>
      </c>
      <c r="G145" s="578">
        <f>+T3.2026!G57+T4.2026!G76+T6.2026!G87</f>
        <v>58965.119999999995</v>
      </c>
      <c r="H145" s="579"/>
      <c r="I145" s="324">
        <f t="shared" si="180"/>
        <v>2740.9230000000098</v>
      </c>
      <c r="J145" s="321">
        <f t="shared" si="181"/>
        <v>0</v>
      </c>
      <c r="K145" s="561"/>
      <c r="L145" s="562"/>
      <c r="M145" s="563"/>
      <c r="N145" s="72">
        <v>43127.707000000009</v>
      </c>
      <c r="O145" s="71"/>
      <c r="P145" s="73">
        <f>+[2]T3!$I$70+[2]T3!$I$77</f>
        <v>360521.54969004891</v>
      </c>
      <c r="R145" s="46"/>
      <c r="S145" s="6">
        <f>+I145/G145*100</f>
        <v>4.6483802627723136</v>
      </c>
    </row>
    <row r="146" spans="1:19" s="76" customFormat="1" ht="18" hidden="1" customHeight="1" x14ac:dyDescent="0.25">
      <c r="A146" s="11">
        <v>5</v>
      </c>
      <c r="B146" s="638" t="s">
        <v>81</v>
      </c>
      <c r="C146" s="639"/>
      <c r="D146" s="322" t="s">
        <v>56</v>
      </c>
      <c r="E146" s="63">
        <v>0.39</v>
      </c>
      <c r="F146" s="57">
        <f t="shared" si="182"/>
        <v>0</v>
      </c>
      <c r="G146" s="559"/>
      <c r="H146" s="560"/>
      <c r="I146" s="324">
        <f t="shared" si="180"/>
        <v>245564.86500000002</v>
      </c>
      <c r="J146" s="321">
        <f t="shared" si="181"/>
        <v>0</v>
      </c>
      <c r="K146" s="58"/>
      <c r="L146" s="58"/>
      <c r="M146" s="74"/>
      <c r="N146" s="72">
        <v>7296226.4150943384</v>
      </c>
      <c r="O146" s="75">
        <f>+N146-N147</f>
        <v>7019296.6383545632</v>
      </c>
      <c r="P146" s="75"/>
      <c r="R146" s="77"/>
    </row>
    <row r="147" spans="1:19" s="76" customFormat="1" ht="18" customHeight="1" x14ac:dyDescent="0.25">
      <c r="A147" s="11">
        <v>4</v>
      </c>
      <c r="B147" s="572" t="s">
        <v>82</v>
      </c>
      <c r="C147" s="572"/>
      <c r="D147" s="322" t="s">
        <v>56</v>
      </c>
      <c r="E147" s="78">
        <v>0.11899999999999999</v>
      </c>
      <c r="F147" s="57">
        <f t="shared" si="182"/>
        <v>0.11591626188054224</v>
      </c>
      <c r="G147" s="559">
        <f>+T3.2026!G59+T4.2026!G78+T6.2026!G89</f>
        <v>72987.08</v>
      </c>
      <c r="H147" s="560"/>
      <c r="I147" s="324">
        <f t="shared" si="180"/>
        <v>1941.6864999999916</v>
      </c>
      <c r="J147" s="321">
        <f t="shared" si="181"/>
        <v>0</v>
      </c>
      <c r="K147" s="58"/>
      <c r="L147" s="58"/>
      <c r="M147" s="74"/>
      <c r="N147" s="75">
        <v>276929.77673977503</v>
      </c>
      <c r="O147" s="75"/>
      <c r="P147" s="75"/>
      <c r="R147" s="77"/>
    </row>
    <row r="148" spans="1:19" ht="18" customHeight="1" x14ac:dyDescent="0.25">
      <c r="A148" s="11">
        <v>5</v>
      </c>
      <c r="B148" s="638" t="s">
        <v>83</v>
      </c>
      <c r="C148" s="639"/>
      <c r="D148" s="322" t="s">
        <v>62</v>
      </c>
      <c r="E148" s="63">
        <v>0.66900000000000004</v>
      </c>
      <c r="F148" s="57">
        <f>+G148/$O$141</f>
        <v>0.66852324333939217</v>
      </c>
      <c r="G148" s="574">
        <f>+T3.2026!G60+T4.2026!G79+T6.2026!G90</f>
        <v>420938</v>
      </c>
      <c r="H148" s="575"/>
      <c r="I148" s="324">
        <f t="shared" si="180"/>
        <v>300.19150000005675</v>
      </c>
      <c r="J148" s="321">
        <f t="shared" si="181"/>
        <v>0</v>
      </c>
      <c r="K148" s="58"/>
      <c r="L148" s="58"/>
      <c r="M148" s="59"/>
      <c r="N148" s="71">
        <v>231300</v>
      </c>
      <c r="O148" s="6"/>
      <c r="R148" s="46"/>
    </row>
    <row r="149" spans="1:19" ht="18" customHeight="1" x14ac:dyDescent="0.25">
      <c r="A149" s="11">
        <v>6</v>
      </c>
      <c r="B149" s="638" t="s">
        <v>84</v>
      </c>
      <c r="C149" s="639"/>
      <c r="D149" s="322" t="s">
        <v>56</v>
      </c>
      <c r="E149" s="63">
        <v>0.02</v>
      </c>
      <c r="F149" s="57">
        <f t="shared" si="182"/>
        <v>1.7739915683784812E-2</v>
      </c>
      <c r="G149" s="559">
        <f>+T3.2026!G61+T4.2026!G80+T6.2026!G91</f>
        <v>11170</v>
      </c>
      <c r="H149" s="560"/>
      <c r="I149" s="324">
        <f t="shared" si="180"/>
        <v>1423.0700000000002</v>
      </c>
      <c r="J149" s="321">
        <f t="shared" si="181"/>
        <v>0</v>
      </c>
      <c r="K149" s="58"/>
      <c r="L149" s="58"/>
      <c r="M149" s="59"/>
      <c r="O149" s="45"/>
      <c r="P149" s="79">
        <v>394753</v>
      </c>
      <c r="R149" s="46"/>
    </row>
    <row r="150" spans="1:19" ht="18" customHeight="1" x14ac:dyDescent="0.25">
      <c r="A150" s="11">
        <v>7</v>
      </c>
      <c r="B150" s="638" t="s">
        <v>64</v>
      </c>
      <c r="C150" s="639"/>
      <c r="D150" s="322" t="s">
        <v>56</v>
      </c>
      <c r="E150" s="158">
        <v>2.01E-2</v>
      </c>
      <c r="F150" s="57">
        <f t="shared" si="182"/>
        <v>1.2807043874130772E-2</v>
      </c>
      <c r="G150" s="559">
        <f>+T3.2026!G62+T4.2026!G81+T6.2026!G92</f>
        <v>8064</v>
      </c>
      <c r="H150" s="560"/>
      <c r="I150" s="324">
        <f t="shared" si="180"/>
        <v>4592.0353500000001</v>
      </c>
      <c r="J150" s="321">
        <f t="shared" si="181"/>
        <v>0</v>
      </c>
      <c r="K150" s="58"/>
      <c r="L150" s="58"/>
      <c r="M150" s="59"/>
      <c r="N150" s="64"/>
      <c r="O150" s="45"/>
      <c r="P150" s="325">
        <v>242584.6</v>
      </c>
      <c r="R150" s="46"/>
    </row>
    <row r="151" spans="1:19" ht="18" customHeight="1" x14ac:dyDescent="0.25">
      <c r="A151" s="11">
        <v>8</v>
      </c>
      <c r="B151" s="638" t="s">
        <v>65</v>
      </c>
      <c r="C151" s="639"/>
      <c r="D151" s="322" t="s">
        <v>56</v>
      </c>
      <c r="E151" s="32">
        <v>1.84</v>
      </c>
      <c r="F151" s="57">
        <f t="shared" si="182"/>
        <v>1.849909513724612</v>
      </c>
      <c r="G151" s="574">
        <f>+T3.2026!G63+T4.2026!G82+T6.2026!G93</f>
        <v>1164802</v>
      </c>
      <c r="H151" s="575"/>
      <c r="I151" s="324"/>
      <c r="J151" s="321">
        <f>+(F151-E151)*$O$141</f>
        <v>6239.5599999999231</v>
      </c>
      <c r="K151" s="589"/>
      <c r="L151" s="590"/>
      <c r="M151" s="591"/>
      <c r="N151" s="81"/>
      <c r="O151" s="6"/>
      <c r="P151">
        <v>7032.1</v>
      </c>
      <c r="R151" s="46"/>
    </row>
    <row r="152" spans="1:19" ht="18" customHeight="1" x14ac:dyDescent="0.25">
      <c r="A152" s="11">
        <v>9</v>
      </c>
      <c r="B152" s="638" t="s">
        <v>67</v>
      </c>
      <c r="C152" s="639"/>
      <c r="D152" s="322" t="s">
        <v>56</v>
      </c>
      <c r="E152" s="158">
        <v>7.6E-3</v>
      </c>
      <c r="F152" s="57">
        <f t="shared" si="182"/>
        <v>6.4797543410780693E-3</v>
      </c>
      <c r="G152" s="559">
        <f>+T3.2026!G64+T4.2026!G83+T6.2026!G94</f>
        <v>4080</v>
      </c>
      <c r="H152" s="560"/>
      <c r="I152" s="324">
        <f>+(E152-F152)*$O$141</f>
        <v>705.36659999999983</v>
      </c>
      <c r="J152" s="321"/>
      <c r="K152" s="58"/>
      <c r="L152" s="58"/>
      <c r="M152" s="59"/>
      <c r="N152" s="64"/>
      <c r="O152" s="45"/>
      <c r="P152" s="64">
        <v>644369.69999999995</v>
      </c>
      <c r="R152" s="46"/>
    </row>
    <row r="153" spans="1:19" ht="18" customHeight="1" x14ac:dyDescent="0.25">
      <c r="A153" s="11">
        <v>10</v>
      </c>
      <c r="B153" s="638" t="s">
        <v>68</v>
      </c>
      <c r="C153" s="639"/>
      <c r="D153" s="322" t="s">
        <v>62</v>
      </c>
      <c r="E153" s="63">
        <v>4.2999999999999997E-2</v>
      </c>
      <c r="F153" s="57">
        <f t="shared" si="182"/>
        <v>3.959320483408732E-2</v>
      </c>
      <c r="G153" s="559">
        <f>+T3.2026!G65+T4.2026!G84+T6.2026!G95</f>
        <v>24930</v>
      </c>
      <c r="H153" s="560"/>
      <c r="I153" s="324">
        <f>+(E153-F153)*$O$141</f>
        <v>2145.1004999999977</v>
      </c>
      <c r="J153" s="321"/>
      <c r="K153" s="586"/>
      <c r="L153" s="587"/>
      <c r="M153" s="59"/>
      <c r="N153" s="64"/>
      <c r="O153" s="45"/>
      <c r="P153" s="79"/>
      <c r="R153" s="46">
        <f>+O153-H153</f>
        <v>0</v>
      </c>
    </row>
    <row r="154" spans="1:19" ht="18" customHeight="1" x14ac:dyDescent="0.25">
      <c r="A154" s="11">
        <v>11</v>
      </c>
      <c r="B154" s="638" t="s">
        <v>69</v>
      </c>
      <c r="C154" s="639"/>
      <c r="D154" s="322" t="s">
        <v>62</v>
      </c>
      <c r="E154" s="158">
        <v>1.0699999999999999E-2</v>
      </c>
      <c r="F154" s="57">
        <f t="shared" si="182"/>
        <v>1.0712240938865582E-2</v>
      </c>
      <c r="G154" s="559">
        <f>+T3.2026!G66+T4.2026!G85+T6.2026!G96</f>
        <v>6745</v>
      </c>
      <c r="H154" s="560"/>
      <c r="I154" s="324"/>
      <c r="J154" s="321">
        <f>+(F154-E154)*$O$141</f>
        <v>7.7075500000001567</v>
      </c>
      <c r="K154" s="586"/>
      <c r="L154" s="587"/>
      <c r="M154" s="59"/>
      <c r="N154" s="64"/>
      <c r="O154" s="45"/>
      <c r="P154" s="64">
        <f>+O141/G154</f>
        <v>93.351148999258712</v>
      </c>
      <c r="R154" s="46">
        <f>+O154-H154</f>
        <v>0</v>
      </c>
    </row>
    <row r="155" spans="1:19" ht="18" customHeight="1" x14ac:dyDescent="0.25">
      <c r="A155" s="11">
        <v>12</v>
      </c>
      <c r="B155" s="638" t="s">
        <v>71</v>
      </c>
      <c r="C155" s="639"/>
      <c r="D155" s="322" t="s">
        <v>62</v>
      </c>
      <c r="E155" s="63">
        <v>0.06</v>
      </c>
      <c r="F155" s="57">
        <f t="shared" si="182"/>
        <v>5.7809573042951402E-2</v>
      </c>
      <c r="G155" s="574">
        <f>+T3.2026!G67+T4.2026!G86+T6.2026!G97</f>
        <v>36400</v>
      </c>
      <c r="H155" s="575"/>
      <c r="I155" s="324">
        <f>+(E155-F155)*$O$141</f>
        <v>1379.2099999999978</v>
      </c>
      <c r="J155" s="321">
        <f t="shared" si="181"/>
        <v>0</v>
      </c>
      <c r="K155" s="588"/>
      <c r="L155" s="576"/>
      <c r="M155" s="577"/>
      <c r="O155" s="45"/>
      <c r="R155" s="46"/>
    </row>
    <row r="156" spans="1:19" ht="22.5" hidden="1" customHeight="1" x14ac:dyDescent="0.25">
      <c r="A156" s="11">
        <v>15</v>
      </c>
      <c r="B156" s="638" t="s">
        <v>87</v>
      </c>
      <c r="C156" s="639"/>
      <c r="D156" s="322" t="s">
        <v>56</v>
      </c>
      <c r="E156" s="158">
        <v>2.0999999999999999E-3</v>
      </c>
      <c r="F156" s="57">
        <f t="shared" si="182"/>
        <v>0</v>
      </c>
      <c r="G156" s="574"/>
      <c r="H156" s="575"/>
      <c r="I156" s="324">
        <f>+(E156-F156)*$O$141</f>
        <v>1322.27235</v>
      </c>
      <c r="J156" s="321">
        <f t="shared" si="181"/>
        <v>0</v>
      </c>
      <c r="K156" s="67"/>
      <c r="L156" s="67"/>
      <c r="M156" s="68"/>
      <c r="O156" s="45"/>
      <c r="R156" s="46"/>
    </row>
    <row r="157" spans="1:19" ht="18.75" customHeight="1" x14ac:dyDescent="0.25">
      <c r="A157" s="11">
        <v>13</v>
      </c>
      <c r="B157" s="638" t="s">
        <v>88</v>
      </c>
      <c r="C157" s="639"/>
      <c r="D157" s="322" t="s">
        <v>56</v>
      </c>
      <c r="E157" s="158">
        <v>1.2999999999999999E-3</v>
      </c>
      <c r="F157" s="66">
        <f t="shared" si="182"/>
        <v>3.970437708993915E-4</v>
      </c>
      <c r="G157" s="574">
        <f>+T4.2026!G88</f>
        <v>250</v>
      </c>
      <c r="H157" s="575"/>
      <c r="I157" s="324">
        <f>+(E157-F157)*$O$141</f>
        <v>568.54954999999995</v>
      </c>
      <c r="J157" s="321">
        <f t="shared" si="181"/>
        <v>0</v>
      </c>
      <c r="K157" s="67"/>
      <c r="L157" s="67"/>
      <c r="M157" s="68"/>
      <c r="O157" s="45"/>
      <c r="R157" s="46"/>
    </row>
    <row r="158" spans="1:19" ht="18.75" customHeight="1" x14ac:dyDescent="0.25">
      <c r="A158" s="88" t="s">
        <v>348</v>
      </c>
      <c r="B158" s="142"/>
      <c r="C158" s="142"/>
      <c r="D158" s="98"/>
      <c r="E158" s="98"/>
      <c r="F158" s="99"/>
      <c r="G158" s="100"/>
      <c r="H158" s="101"/>
      <c r="I158" s="101"/>
      <c r="J158" s="98"/>
      <c r="K158" s="142"/>
      <c r="L158" s="142"/>
      <c r="M158" s="142"/>
    </row>
    <row r="159" spans="1:19" ht="31.5" customHeight="1" x14ac:dyDescent="0.25">
      <c r="A159" s="660" t="s">
        <v>349</v>
      </c>
      <c r="B159" s="662"/>
      <c r="C159" s="662"/>
      <c r="D159" s="660" t="s">
        <v>356</v>
      </c>
      <c r="E159" s="661"/>
      <c r="F159" s="660" t="s">
        <v>110</v>
      </c>
      <c r="G159" s="661"/>
      <c r="H159" s="660" t="s">
        <v>111</v>
      </c>
      <c r="I159" s="662"/>
      <c r="J159" s="662"/>
      <c r="K159" s="662"/>
      <c r="L159" s="662"/>
      <c r="M159" s="661"/>
      <c r="N159" s="161" t="s">
        <v>150</v>
      </c>
    </row>
    <row r="160" spans="1:19" ht="31.5" customHeight="1" x14ac:dyDescent="0.25">
      <c r="A160" s="663" t="s">
        <v>350</v>
      </c>
      <c r="B160" s="664"/>
      <c r="C160" s="664"/>
      <c r="D160" s="620">
        <v>14</v>
      </c>
      <c r="E160" s="622"/>
      <c r="F160" s="620">
        <v>1605</v>
      </c>
      <c r="G160" s="622"/>
      <c r="H160" s="612" t="s">
        <v>357</v>
      </c>
      <c r="I160" s="659"/>
      <c r="J160" s="659"/>
      <c r="K160" s="659"/>
      <c r="L160" s="659"/>
      <c r="M160" s="613"/>
    </row>
    <row r="161" spans="1:15" ht="30" customHeight="1" x14ac:dyDescent="0.25">
      <c r="A161" s="663" t="s">
        <v>351</v>
      </c>
      <c r="B161" s="664"/>
      <c r="C161" s="664"/>
      <c r="D161" s="620">
        <v>7</v>
      </c>
      <c r="E161" s="622"/>
      <c r="F161" s="620">
        <v>1389.6</v>
      </c>
      <c r="G161" s="622"/>
      <c r="H161" s="612" t="s">
        <v>358</v>
      </c>
      <c r="I161" s="659"/>
      <c r="J161" s="659"/>
      <c r="K161" s="659"/>
      <c r="L161" s="659"/>
      <c r="M161" s="613"/>
    </row>
    <row r="162" spans="1:15" ht="18" customHeight="1" x14ac:dyDescent="0.25">
      <c r="A162" s="663" t="s">
        <v>352</v>
      </c>
      <c r="B162" s="664"/>
      <c r="C162" s="664"/>
      <c r="D162" s="620">
        <v>5</v>
      </c>
      <c r="E162" s="622"/>
      <c r="F162" s="620">
        <v>2842.8</v>
      </c>
      <c r="G162" s="622"/>
      <c r="H162" s="612" t="s">
        <v>359</v>
      </c>
      <c r="I162" s="659"/>
      <c r="J162" s="659"/>
      <c r="K162" s="659"/>
      <c r="L162" s="659"/>
      <c r="M162" s="613"/>
    </row>
    <row r="163" spans="1:15" ht="16.5" customHeight="1" x14ac:dyDescent="0.25">
      <c r="A163" s="663" t="s">
        <v>353</v>
      </c>
      <c r="B163" s="664"/>
      <c r="C163" s="664"/>
      <c r="D163" s="620">
        <v>3</v>
      </c>
      <c r="E163" s="622"/>
      <c r="F163" s="620">
        <v>124.8</v>
      </c>
      <c r="G163" s="622"/>
      <c r="H163" s="612" t="s">
        <v>360</v>
      </c>
      <c r="I163" s="659"/>
      <c r="J163" s="659"/>
      <c r="K163" s="659"/>
      <c r="L163" s="659"/>
      <c r="M163" s="613"/>
    </row>
    <row r="164" spans="1:15" ht="16.5" customHeight="1" x14ac:dyDescent="0.25">
      <c r="A164" s="663" t="s">
        <v>354</v>
      </c>
      <c r="B164" s="664"/>
      <c r="C164" s="664"/>
      <c r="D164" s="620">
        <v>2</v>
      </c>
      <c r="E164" s="622"/>
      <c r="F164" s="620">
        <v>576</v>
      </c>
      <c r="G164" s="622"/>
      <c r="H164" s="612" t="s">
        <v>361</v>
      </c>
      <c r="I164" s="659"/>
      <c r="J164" s="659"/>
      <c r="K164" s="659"/>
      <c r="L164" s="659"/>
      <c r="M164" s="613"/>
      <c r="O164" s="64"/>
    </row>
    <row r="165" spans="1:15" ht="18" customHeight="1" x14ac:dyDescent="0.25">
      <c r="A165" s="620" t="s">
        <v>355</v>
      </c>
      <c r="B165" s="621"/>
      <c r="C165" s="621"/>
      <c r="D165" s="620">
        <f>+SUM(D160:E164)</f>
        <v>31</v>
      </c>
      <c r="E165" s="622"/>
      <c r="F165" s="620">
        <f>+SUM(F160:G164)</f>
        <v>6538.2</v>
      </c>
      <c r="G165" s="622"/>
      <c r="H165" s="612"/>
      <c r="I165" s="659"/>
      <c r="J165" s="659"/>
      <c r="K165" s="659"/>
      <c r="L165" s="659"/>
      <c r="M165" s="613"/>
    </row>
    <row r="166" spans="1:15" ht="18" customHeight="1" x14ac:dyDescent="0.25">
      <c r="A166" s="620" t="s">
        <v>362</v>
      </c>
      <c r="B166" s="621"/>
      <c r="C166" s="621"/>
      <c r="D166" s="621"/>
      <c r="E166" s="621"/>
      <c r="F166" s="680">
        <f>+O141+O122</f>
        <v>2041829.5</v>
      </c>
      <c r="G166" s="680"/>
      <c r="H166" s="679" t="s">
        <v>363</v>
      </c>
      <c r="I166" s="679"/>
      <c r="J166" s="679"/>
      <c r="K166" s="679"/>
      <c r="L166" s="679"/>
      <c r="M166" s="679"/>
    </row>
    <row r="167" spans="1:15" ht="17.25" customHeight="1" x14ac:dyDescent="0.25">
      <c r="A167" s="1" t="s">
        <v>364</v>
      </c>
      <c r="B167" s="7"/>
      <c r="C167" s="7"/>
      <c r="D167" s="7"/>
      <c r="E167" s="7"/>
      <c r="F167" s="7"/>
      <c r="G167" s="7"/>
      <c r="H167" s="110"/>
      <c r="I167" s="111"/>
      <c r="J167" s="7"/>
      <c r="K167" s="7"/>
      <c r="L167" s="7"/>
      <c r="M167" s="7"/>
    </row>
    <row r="168" spans="1:15" ht="17.25" customHeight="1" x14ac:dyDescent="0.25">
      <c r="A168" s="1" t="s">
        <v>365</v>
      </c>
      <c r="B168" s="7"/>
      <c r="C168" s="7"/>
      <c r="D168" s="7"/>
      <c r="E168" s="7"/>
      <c r="F168" s="7"/>
      <c r="G168" s="7"/>
      <c r="H168" s="110"/>
      <c r="I168" s="111"/>
      <c r="J168" s="7"/>
      <c r="K168" s="7"/>
      <c r="L168" s="7"/>
      <c r="M168" s="7"/>
    </row>
    <row r="169" spans="1:15" ht="25.5" customHeight="1" x14ac:dyDescent="0.25">
      <c r="A169" s="624" t="s">
        <v>6</v>
      </c>
      <c r="B169" s="625"/>
      <c r="C169" s="524" t="s">
        <v>138</v>
      </c>
      <c r="D169" s="542" t="s">
        <v>8</v>
      </c>
      <c r="E169" s="542"/>
      <c r="F169" s="542"/>
      <c r="G169" s="626" t="s">
        <v>139</v>
      </c>
      <c r="H169" s="627" t="s">
        <v>140</v>
      </c>
      <c r="I169" s="115" t="s">
        <v>141</v>
      </c>
      <c r="J169" s="114" t="s">
        <v>12</v>
      </c>
      <c r="K169" s="114" t="s">
        <v>13</v>
      </c>
      <c r="L169" s="114" t="s">
        <v>14</v>
      </c>
      <c r="M169" s="165" t="s">
        <v>142</v>
      </c>
      <c r="N169" s="166"/>
    </row>
    <row r="170" spans="1:15" ht="20.25" customHeight="1" x14ac:dyDescent="0.25">
      <c r="A170" s="114" t="s">
        <v>143</v>
      </c>
      <c r="B170" s="114" t="s">
        <v>17</v>
      </c>
      <c r="C170" s="527"/>
      <c r="D170" s="114" t="s">
        <v>18</v>
      </c>
      <c r="E170" s="114" t="s">
        <v>19</v>
      </c>
      <c r="F170" s="114" t="s">
        <v>20</v>
      </c>
      <c r="G170" s="626"/>
      <c r="H170" s="628"/>
      <c r="I170" s="115" t="s">
        <v>144</v>
      </c>
      <c r="J170" s="114"/>
      <c r="K170" s="114" t="s">
        <v>22</v>
      </c>
      <c r="L170" s="114" t="s">
        <v>23</v>
      </c>
      <c r="M170" s="114" t="s">
        <v>24</v>
      </c>
    </row>
    <row r="171" spans="1:15" ht="16.5" customHeight="1" x14ac:dyDescent="0.25">
      <c r="A171" s="542" t="s">
        <v>146</v>
      </c>
      <c r="B171" s="25" t="s">
        <v>21</v>
      </c>
      <c r="C171" s="121">
        <f>+G171*100/J172</f>
        <v>1421011.2</v>
      </c>
      <c r="D171" s="117">
        <f>+G171*D172/100</f>
        <v>1253331.8784</v>
      </c>
      <c r="E171" s="117">
        <f>+G171*E172/100</f>
        <v>97481.368320000009</v>
      </c>
      <c r="F171" s="117">
        <f>+G171*F172/100</f>
        <v>41777.72928</v>
      </c>
      <c r="G171" s="117">
        <f>+I171*H171</f>
        <v>1392590.976</v>
      </c>
      <c r="H171" s="124">
        <v>97</v>
      </c>
      <c r="I171" s="17">
        <f>10.9*0.96*1400*0.98</f>
        <v>14356.608</v>
      </c>
      <c r="J171" s="119"/>
      <c r="K171" s="598">
        <v>28420</v>
      </c>
      <c r="L171" s="599"/>
      <c r="M171" s="674">
        <v>40</v>
      </c>
    </row>
    <row r="172" spans="1:15" ht="16.5" customHeight="1" x14ac:dyDescent="0.25">
      <c r="A172" s="542"/>
      <c r="B172" s="25" t="s">
        <v>26</v>
      </c>
      <c r="C172" s="121"/>
      <c r="D172" s="21">
        <v>90</v>
      </c>
      <c r="E172" s="21">
        <v>7</v>
      </c>
      <c r="F172" s="21">
        <v>3</v>
      </c>
      <c r="G172" s="21">
        <v>100</v>
      </c>
      <c r="H172" s="122"/>
      <c r="I172" s="123"/>
      <c r="J172" s="124">
        <v>98</v>
      </c>
      <c r="K172" s="676">
        <f>100-J172</f>
        <v>2</v>
      </c>
      <c r="L172" s="676"/>
      <c r="M172" s="675"/>
    </row>
    <row r="173" spans="1:15" ht="16.5" customHeight="1" x14ac:dyDescent="0.25">
      <c r="A173" s="542" t="s">
        <v>145</v>
      </c>
      <c r="B173" s="25" t="s">
        <v>21</v>
      </c>
      <c r="C173" s="121">
        <f>+G173*100/J174</f>
        <v>1167810</v>
      </c>
      <c r="D173" s="117">
        <f>+G173*D174/100</f>
        <v>1075786.5719999999</v>
      </c>
      <c r="E173" s="117">
        <f>+G173*E174/100</f>
        <v>34333.614000000001</v>
      </c>
      <c r="F173" s="117">
        <f>+G173*F174/100</f>
        <v>34333.614000000001</v>
      </c>
      <c r="G173" s="117">
        <f>+I173*H173</f>
        <v>1144453.8</v>
      </c>
      <c r="H173" s="124">
        <v>83</v>
      </c>
      <c r="I173" s="17">
        <f>21*0.5*1340*0.98</f>
        <v>13788.6</v>
      </c>
      <c r="J173" s="119"/>
      <c r="K173" s="598">
        <v>23356</v>
      </c>
      <c r="L173" s="599"/>
      <c r="M173" s="674">
        <v>100</v>
      </c>
    </row>
    <row r="174" spans="1:15" ht="16.5" customHeight="1" x14ac:dyDescent="0.25">
      <c r="A174" s="542"/>
      <c r="B174" s="25" t="s">
        <v>26</v>
      </c>
      <c r="C174" s="121"/>
      <c r="D174" s="21">
        <v>94</v>
      </c>
      <c r="E174" s="21">
        <v>3</v>
      </c>
      <c r="F174" s="21">
        <v>3</v>
      </c>
      <c r="G174" s="21">
        <v>100</v>
      </c>
      <c r="H174" s="122"/>
      <c r="I174" s="123"/>
      <c r="J174" s="124">
        <v>98</v>
      </c>
      <c r="K174" s="676">
        <f>100-J174</f>
        <v>2</v>
      </c>
      <c r="L174" s="676"/>
      <c r="M174" s="675"/>
    </row>
    <row r="175" spans="1:15" ht="16.5" customHeight="1" x14ac:dyDescent="0.25">
      <c r="A175" s="542" t="s">
        <v>147</v>
      </c>
      <c r="B175" s="25" t="s">
        <v>21</v>
      </c>
      <c r="C175" s="121">
        <f>+C171+C173</f>
        <v>2588821.2000000002</v>
      </c>
      <c r="D175" s="121">
        <f t="shared" ref="D175:H175" si="183">+D171+D173</f>
        <v>2329118.4504</v>
      </c>
      <c r="E175" s="121">
        <f t="shared" si="183"/>
        <v>131814.98232000001</v>
      </c>
      <c r="F175" s="121">
        <f t="shared" si="183"/>
        <v>76111.343280000001</v>
      </c>
      <c r="G175" s="121">
        <f t="shared" si="183"/>
        <v>2537044.7760000001</v>
      </c>
      <c r="H175" s="173">
        <f t="shared" si="183"/>
        <v>180</v>
      </c>
      <c r="I175" s="121">
        <f>+G175/H175</f>
        <v>14094.6932</v>
      </c>
      <c r="J175" s="123"/>
      <c r="K175" s="677">
        <f>+K173+K171</f>
        <v>51776</v>
      </c>
      <c r="L175" s="678"/>
      <c r="M175" s="674">
        <v>68</v>
      </c>
    </row>
    <row r="176" spans="1:15" ht="16.5" customHeight="1" x14ac:dyDescent="0.25">
      <c r="A176" s="542"/>
      <c r="B176" s="25" t="s">
        <v>26</v>
      </c>
      <c r="C176" s="105"/>
      <c r="D176" s="125">
        <f>+D175/G175*100</f>
        <v>91.804388808311671</v>
      </c>
      <c r="E176" s="125">
        <f>+E175/G175*100</f>
        <v>5.1956111916883252</v>
      </c>
      <c r="F176" s="125">
        <f>+F175/G175*100</f>
        <v>3</v>
      </c>
      <c r="G176" s="21">
        <v>100</v>
      </c>
      <c r="H176" s="122"/>
      <c r="I176" s="122"/>
      <c r="J176" s="124">
        <v>98</v>
      </c>
      <c r="K176" s="629">
        <v>2</v>
      </c>
      <c r="L176" s="629"/>
      <c r="M176" s="675"/>
    </row>
    <row r="177" spans="1:17" ht="16.5" customHeight="1" x14ac:dyDescent="0.25">
      <c r="A177" s="112" t="s">
        <v>366</v>
      </c>
      <c r="B177" s="8"/>
      <c r="C177" s="7"/>
      <c r="D177" s="7"/>
      <c r="E177" s="7"/>
      <c r="F177" s="7"/>
      <c r="G177" s="7"/>
      <c r="J177" s="7"/>
      <c r="K177" s="7"/>
      <c r="L177" s="7"/>
      <c r="M177" s="7"/>
    </row>
    <row r="178" spans="1:17" ht="27.75" customHeight="1" x14ac:dyDescent="0.25">
      <c r="A178" s="624" t="s">
        <v>6</v>
      </c>
      <c r="B178" s="625"/>
      <c r="C178" s="524" t="s">
        <v>138</v>
      </c>
      <c r="D178" s="542" t="s">
        <v>8</v>
      </c>
      <c r="E178" s="542"/>
      <c r="F178" s="542"/>
      <c r="G178" s="626" t="s">
        <v>139</v>
      </c>
      <c r="H178" s="627" t="s">
        <v>149</v>
      </c>
      <c r="I178" s="126" t="s">
        <v>141</v>
      </c>
      <c r="J178" s="628" t="s">
        <v>12</v>
      </c>
      <c r="K178" s="114" t="s">
        <v>13</v>
      </c>
      <c r="L178" s="114" t="s">
        <v>14</v>
      </c>
      <c r="M178" s="165" t="s">
        <v>142</v>
      </c>
    </row>
    <row r="179" spans="1:17" ht="17.25" customHeight="1" x14ac:dyDescent="0.25">
      <c r="A179" s="114" t="s">
        <v>151</v>
      </c>
      <c r="B179" s="114" t="s">
        <v>17</v>
      </c>
      <c r="C179" s="527"/>
      <c r="D179" s="114" t="s">
        <v>18</v>
      </c>
      <c r="E179" s="114" t="s">
        <v>19</v>
      </c>
      <c r="F179" s="114" t="s">
        <v>20</v>
      </c>
      <c r="G179" s="542"/>
      <c r="H179" s="627"/>
      <c r="I179" s="115" t="s">
        <v>144</v>
      </c>
      <c r="J179" s="628"/>
      <c r="K179" s="114" t="s">
        <v>22</v>
      </c>
      <c r="L179" s="114" t="s">
        <v>23</v>
      </c>
      <c r="M179" s="114" t="s">
        <v>24</v>
      </c>
      <c r="Q179">
        <f>15410*31</f>
        <v>477710</v>
      </c>
    </row>
    <row r="180" spans="1:17" ht="17.25" customHeight="1" x14ac:dyDescent="0.25">
      <c r="A180" s="542" t="s">
        <v>146</v>
      </c>
      <c r="B180" s="25" t="s">
        <v>21</v>
      </c>
      <c r="C180" s="121">
        <f>+G180*100/J181</f>
        <v>1449431.4240000001</v>
      </c>
      <c r="D180" s="127">
        <f t="shared" ref="D180:E180" si="184">+$G$180*D181/100</f>
        <v>1309474.3256985601</v>
      </c>
      <c r="E180" s="127">
        <f t="shared" si="184"/>
        <v>71167.082918400003</v>
      </c>
      <c r="F180" s="127">
        <f>+$G$180*F181/100</f>
        <v>42700.249751040006</v>
      </c>
      <c r="G180" s="127">
        <f>+I180*H180</f>
        <v>1423341.6583680001</v>
      </c>
      <c r="H180" s="124">
        <v>97</v>
      </c>
      <c r="I180" s="17">
        <f>10.9*0.96*1400*0.982*1.02</f>
        <v>14673.625344</v>
      </c>
      <c r="J180" s="129"/>
      <c r="K180" s="670">
        <v>26090</v>
      </c>
      <c r="L180" s="671"/>
      <c r="M180" s="130"/>
      <c r="O180" s="131"/>
      <c r="Q180">
        <f>+Q179/100*98.2</f>
        <v>469111.22000000003</v>
      </c>
    </row>
    <row r="181" spans="1:17" ht="17.25" customHeight="1" x14ac:dyDescent="0.25">
      <c r="A181" s="542"/>
      <c r="B181" s="25" t="s">
        <v>26</v>
      </c>
      <c r="C181" s="105"/>
      <c r="D181" s="21">
        <v>92</v>
      </c>
      <c r="E181" s="21">
        <v>5</v>
      </c>
      <c r="F181" s="21">
        <v>3</v>
      </c>
      <c r="G181" s="21">
        <v>100</v>
      </c>
      <c r="H181" s="129"/>
      <c r="I181" s="128"/>
      <c r="J181" s="133">
        <v>98.2</v>
      </c>
      <c r="K181" s="634">
        <f>100-J181</f>
        <v>1.7999999999999972</v>
      </c>
      <c r="L181" s="634"/>
      <c r="M181" s="134">
        <v>25</v>
      </c>
      <c r="N181" s="131"/>
    </row>
    <row r="182" spans="1:17" ht="17.25" customHeight="1" x14ac:dyDescent="0.25">
      <c r="A182" s="542" t="s">
        <v>145</v>
      </c>
      <c r="B182" s="25" t="s">
        <v>21</v>
      </c>
      <c r="C182" s="121">
        <f>+G182*100/J183</f>
        <v>1191166.2000000002</v>
      </c>
      <c r="D182" s="127">
        <f t="shared" ref="D182:E182" si="185">+$G$182*D183/100</f>
        <v>1122936.2000640002</v>
      </c>
      <c r="E182" s="127">
        <f t="shared" si="185"/>
        <v>23394.504168000003</v>
      </c>
      <c r="F182" s="127">
        <f>+$G$182*F183/100</f>
        <v>23394.504168000003</v>
      </c>
      <c r="G182" s="127">
        <f>+I182*H182</f>
        <v>1169725.2084000001</v>
      </c>
      <c r="H182" s="124">
        <v>83</v>
      </c>
      <c r="I182" s="17">
        <f>21*0.5*1340*0.982*1.02</f>
        <v>14093.0748</v>
      </c>
      <c r="J182" s="129"/>
      <c r="K182" s="670">
        <v>21441</v>
      </c>
      <c r="L182" s="671"/>
      <c r="M182" s="130"/>
      <c r="O182" s="131"/>
      <c r="Q182">
        <f>+Q181/100*98.2</f>
        <v>0</v>
      </c>
    </row>
    <row r="183" spans="1:17" ht="17.25" customHeight="1" x14ac:dyDescent="0.25">
      <c r="A183" s="542"/>
      <c r="B183" s="25" t="s">
        <v>26</v>
      </c>
      <c r="C183" s="105"/>
      <c r="D183" s="21">
        <v>96</v>
      </c>
      <c r="E183" s="21">
        <v>2</v>
      </c>
      <c r="F183" s="21">
        <v>2</v>
      </c>
      <c r="G183" s="21">
        <v>100</v>
      </c>
      <c r="H183" s="129"/>
      <c r="I183" s="128"/>
      <c r="J183" s="133">
        <v>98.2</v>
      </c>
      <c r="K183" s="634">
        <f>100-J183</f>
        <v>1.7999999999999972</v>
      </c>
      <c r="L183" s="634"/>
      <c r="M183" s="134">
        <v>80</v>
      </c>
      <c r="N183" s="131"/>
    </row>
    <row r="184" spans="1:17" ht="17.25" customHeight="1" x14ac:dyDescent="0.25">
      <c r="A184" s="542" t="s">
        <v>147</v>
      </c>
      <c r="B184" s="25" t="s">
        <v>21</v>
      </c>
      <c r="C184" s="127">
        <f>+C182+C180</f>
        <v>2640597.6240000003</v>
      </c>
      <c r="D184" s="127">
        <f>+D182+D180</f>
        <v>2432410.5257625603</v>
      </c>
      <c r="E184" s="127">
        <f t="shared" ref="E184:G184" si="186">+E182+E180</f>
        <v>94561.587086400003</v>
      </c>
      <c r="F184" s="127">
        <f>+F182+F180</f>
        <v>66094.753919040013</v>
      </c>
      <c r="G184" s="127">
        <f t="shared" si="186"/>
        <v>2593066.8667680002</v>
      </c>
      <c r="H184" s="174">
        <f>+H182+H180</f>
        <v>180</v>
      </c>
      <c r="I184" s="127">
        <f>+G184/H184</f>
        <v>14405.9270376</v>
      </c>
      <c r="J184" s="129"/>
      <c r="K184" s="672">
        <v>47531</v>
      </c>
      <c r="L184" s="673"/>
      <c r="M184" s="130"/>
    </row>
    <row r="185" spans="1:17" ht="17.25" customHeight="1" x14ac:dyDescent="0.25">
      <c r="A185" s="542"/>
      <c r="B185" s="25" t="s">
        <v>26</v>
      </c>
      <c r="C185" s="105"/>
      <c r="D185" s="135">
        <v>0.95899999999999996</v>
      </c>
      <c r="E185" s="135">
        <v>3.6999999999999998E-2</v>
      </c>
      <c r="F185" s="135">
        <v>2.5999999999999999E-2</v>
      </c>
      <c r="G185" s="21">
        <v>100</v>
      </c>
      <c r="H185" s="129"/>
      <c r="I185" s="129"/>
      <c r="J185" s="133"/>
      <c r="K185" s="634"/>
      <c r="L185" s="634"/>
      <c r="M185" s="58"/>
    </row>
    <row r="186" spans="1:17" ht="6" customHeight="1" x14ac:dyDescent="0.25">
      <c r="A186" s="7"/>
      <c r="B186" s="7"/>
      <c r="C186" s="7"/>
      <c r="D186" s="7"/>
      <c r="E186" s="7"/>
      <c r="F186" s="7"/>
      <c r="G186" s="7"/>
      <c r="J186" s="7"/>
      <c r="K186" s="7"/>
      <c r="L186" s="7"/>
      <c r="M186" s="7"/>
    </row>
    <row r="187" spans="1:17" ht="17.25" customHeight="1" x14ac:dyDescent="0.25">
      <c r="A187" s="1" t="s">
        <v>368</v>
      </c>
      <c r="B187" s="7"/>
      <c r="C187" s="7"/>
      <c r="D187" s="7"/>
      <c r="E187" s="7"/>
      <c r="F187" s="7"/>
      <c r="G187" s="7"/>
      <c r="J187" s="7"/>
      <c r="K187" s="7"/>
      <c r="L187" s="7"/>
      <c r="M187" s="7"/>
    </row>
    <row r="188" spans="1:17" ht="17.25" customHeight="1" x14ac:dyDescent="0.25">
      <c r="A188" s="138" t="s">
        <v>369</v>
      </c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Q188" t="e">
        <v>#REF!</v>
      </c>
    </row>
    <row r="189" spans="1:17" ht="17.25" customHeight="1" x14ac:dyDescent="0.25">
      <c r="A189" s="1" t="s">
        <v>154</v>
      </c>
      <c r="B189" s="7"/>
      <c r="C189" s="7"/>
      <c r="D189" s="7"/>
      <c r="E189" s="7"/>
      <c r="F189" s="7"/>
      <c r="G189" s="7"/>
      <c r="J189" s="7"/>
      <c r="K189" s="7"/>
      <c r="L189" s="7"/>
      <c r="M189" s="7"/>
    </row>
    <row r="190" spans="1:17" ht="17.25" customHeight="1" x14ac:dyDescent="0.25">
      <c r="A190" s="630" t="s">
        <v>371</v>
      </c>
      <c r="B190" s="630"/>
      <c r="C190" s="630"/>
      <c r="D190" s="630"/>
      <c r="E190" s="630"/>
      <c r="F190" s="630"/>
      <c r="G190" s="630"/>
      <c r="H190" s="630"/>
      <c r="I190" s="630"/>
      <c r="J190" s="630"/>
      <c r="K190" s="630"/>
      <c r="L190" s="630"/>
      <c r="M190" s="630"/>
    </row>
    <row r="191" spans="1:17" ht="17.25" customHeight="1" x14ac:dyDescent="0.25">
      <c r="A191" s="631" t="s">
        <v>156</v>
      </c>
      <c r="B191" s="631"/>
      <c r="C191" s="631"/>
      <c r="D191" s="631"/>
      <c r="E191" s="631"/>
      <c r="F191" s="631"/>
      <c r="G191" s="631"/>
      <c r="H191" s="631"/>
      <c r="I191" s="631"/>
      <c r="J191" s="631"/>
      <c r="K191" s="631"/>
      <c r="L191" s="631"/>
      <c r="M191" s="631"/>
    </row>
    <row r="192" spans="1:17" ht="17.25" customHeight="1" x14ac:dyDescent="0.25">
      <c r="A192" s="139" t="s">
        <v>370</v>
      </c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</row>
    <row r="193" spans="1:13" ht="17.25" customHeight="1" x14ac:dyDescent="0.25">
      <c r="A193" s="141" t="s">
        <v>158</v>
      </c>
      <c r="B193" s="7"/>
      <c r="C193" s="7"/>
      <c r="D193" s="7"/>
      <c r="E193" s="7"/>
      <c r="F193" s="7"/>
      <c r="G193" s="7"/>
      <c r="J193" s="632" t="s">
        <v>367</v>
      </c>
      <c r="K193" s="632"/>
      <c r="L193" s="632"/>
      <c r="M193" s="632"/>
    </row>
    <row r="194" spans="1:13" ht="19.5" customHeight="1" x14ac:dyDescent="0.25">
      <c r="A194" s="7"/>
      <c r="B194" s="7"/>
      <c r="C194" s="7"/>
      <c r="D194" s="633" t="s">
        <v>160</v>
      </c>
      <c r="E194" s="633"/>
      <c r="F194" s="7"/>
      <c r="G194" s="7"/>
      <c r="J194" s="7"/>
      <c r="K194" s="1" t="s">
        <v>161</v>
      </c>
      <c r="L194" s="7"/>
      <c r="M194" s="7"/>
    </row>
    <row r="195" spans="1:13" x14ac:dyDescent="0.25">
      <c r="A195" s="141"/>
      <c r="B195" s="7"/>
      <c r="C195" s="7"/>
      <c r="D195" s="7"/>
      <c r="E195" s="7"/>
      <c r="F195" s="7"/>
      <c r="G195" s="7"/>
      <c r="J195" s="7"/>
      <c r="K195" s="7"/>
      <c r="L195" s="7"/>
      <c r="M195" s="7"/>
    </row>
    <row r="196" spans="1:13" x14ac:dyDescent="0.25">
      <c r="A196" s="143" t="s">
        <v>162</v>
      </c>
      <c r="B196" s="7"/>
      <c r="C196" s="7"/>
      <c r="D196" s="7"/>
      <c r="E196" s="7"/>
      <c r="F196" s="7"/>
      <c r="G196" s="7"/>
      <c r="J196" s="7"/>
      <c r="K196" s="7"/>
      <c r="L196" s="7"/>
      <c r="M196" s="7"/>
    </row>
    <row r="197" spans="1:13" x14ac:dyDescent="0.25">
      <c r="A197" s="2" t="s">
        <v>163</v>
      </c>
      <c r="B197" s="7"/>
      <c r="C197" s="7"/>
      <c r="D197" s="7"/>
      <c r="E197" s="7"/>
      <c r="F197" s="7"/>
      <c r="G197" s="7"/>
      <c r="J197" s="7"/>
      <c r="K197" s="7"/>
      <c r="L197" s="7"/>
      <c r="M197" s="7"/>
    </row>
    <row r="198" spans="1:13" x14ac:dyDescent="0.25">
      <c r="A198" s="2" t="s">
        <v>164</v>
      </c>
      <c r="B198" s="7"/>
      <c r="C198" s="7"/>
      <c r="D198" s="7"/>
      <c r="E198" s="7"/>
      <c r="F198" s="7"/>
      <c r="G198" s="7"/>
      <c r="J198" s="7"/>
      <c r="K198" s="7"/>
      <c r="L198" s="7"/>
      <c r="M198" s="7"/>
    </row>
    <row r="199" spans="1:13" x14ac:dyDescent="0.25">
      <c r="A199" s="144" t="s">
        <v>165</v>
      </c>
      <c r="B199" s="7"/>
      <c r="C199" s="7"/>
      <c r="D199" s="7"/>
      <c r="E199" s="7"/>
      <c r="F199" s="7"/>
      <c r="G199" s="7"/>
      <c r="J199" s="632" t="s">
        <v>166</v>
      </c>
      <c r="K199" s="632"/>
      <c r="L199" s="632"/>
      <c r="M199" s="632"/>
    </row>
    <row r="200" spans="1:13" x14ac:dyDescent="0.25">
      <c r="A200" s="2"/>
      <c r="B200" s="7"/>
      <c r="C200" s="7"/>
      <c r="D200" s="7"/>
      <c r="E200" s="7"/>
      <c r="F200" s="7"/>
      <c r="G200" s="7"/>
      <c r="J200" s="7"/>
      <c r="K200" s="632"/>
      <c r="L200" s="632"/>
      <c r="M200" s="7"/>
    </row>
    <row r="201" spans="1:13" x14ac:dyDescent="0.25">
      <c r="A201" s="144"/>
      <c r="B201" s="7"/>
      <c r="C201" s="7"/>
      <c r="D201" s="7"/>
      <c r="E201" s="7"/>
      <c r="F201" s="7"/>
      <c r="G201" s="7"/>
      <c r="J201" s="7"/>
      <c r="K201" s="7"/>
      <c r="L201" s="7"/>
      <c r="M201" s="7"/>
    </row>
    <row r="202" spans="1:13" x14ac:dyDescent="0.25">
      <c r="A202" s="2"/>
      <c r="B202" s="7"/>
      <c r="C202" s="7"/>
      <c r="D202" s="7"/>
      <c r="E202" s="7"/>
      <c r="F202" s="7"/>
      <c r="G202" s="7"/>
      <c r="J202" s="7"/>
      <c r="K202" s="7"/>
      <c r="L202" s="7"/>
      <c r="M202" s="7"/>
    </row>
    <row r="203" spans="1:13" x14ac:dyDescent="0.25">
      <c r="A203" s="145"/>
    </row>
    <row r="204" spans="1:13" x14ac:dyDescent="0.25">
      <c r="A204" s="145"/>
    </row>
    <row r="209" spans="1:1" ht="15.75" x14ac:dyDescent="0.25">
      <c r="A209" s="146"/>
    </row>
    <row r="210" spans="1:1" ht="15.75" x14ac:dyDescent="0.25">
      <c r="A210" s="146"/>
    </row>
    <row r="211" spans="1:1" ht="15.75" x14ac:dyDescent="0.25">
      <c r="A211" s="146"/>
    </row>
    <row r="212" spans="1:1" ht="15.75" x14ac:dyDescent="0.25">
      <c r="A212" s="146"/>
    </row>
    <row r="213" spans="1:1" ht="15.75" x14ac:dyDescent="0.25">
      <c r="A213" s="146"/>
    </row>
    <row r="214" spans="1:1" ht="15.75" x14ac:dyDescent="0.25">
      <c r="A214" s="147"/>
    </row>
  </sheetData>
  <mergeCells count="632">
    <mergeCell ref="A81:A82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A79:A80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A77:A78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A83:A84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A75:A76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A73:A74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A71:A72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A69:A70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A67:A68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H63:I63"/>
    <mergeCell ref="J63:K63"/>
    <mergeCell ref="B64:C64"/>
    <mergeCell ref="D64:E64"/>
    <mergeCell ref="F64:G64"/>
    <mergeCell ref="H64:I64"/>
    <mergeCell ref="J64:K64"/>
    <mergeCell ref="A65:A66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A59:A60"/>
    <mergeCell ref="B59:I59"/>
    <mergeCell ref="J59:K60"/>
    <mergeCell ref="L59:M60"/>
    <mergeCell ref="B60:C60"/>
    <mergeCell ref="D60:E60"/>
    <mergeCell ref="F60:G60"/>
    <mergeCell ref="H60:I60"/>
    <mergeCell ref="A61:A62"/>
    <mergeCell ref="B61:C61"/>
    <mergeCell ref="D61:E61"/>
    <mergeCell ref="F61:G61"/>
    <mergeCell ref="H61:I61"/>
    <mergeCell ref="J61:K61"/>
    <mergeCell ref="L61:M84"/>
    <mergeCell ref="B62:C62"/>
    <mergeCell ref="D62:E62"/>
    <mergeCell ref="F62:G62"/>
    <mergeCell ref="H62:I62"/>
    <mergeCell ref="J62:K62"/>
    <mergeCell ref="A63:A64"/>
    <mergeCell ref="B63:C63"/>
    <mergeCell ref="D63:E63"/>
    <mergeCell ref="F63:G63"/>
    <mergeCell ref="A11:A12"/>
    <mergeCell ref="K12:L12"/>
    <mergeCell ref="A13:A14"/>
    <mergeCell ref="K14:L14"/>
    <mergeCell ref="A15:A16"/>
    <mergeCell ref="A17:A18"/>
    <mergeCell ref="K18:L18"/>
    <mergeCell ref="A4:M4"/>
    <mergeCell ref="A9:B9"/>
    <mergeCell ref="D9:F9"/>
    <mergeCell ref="G9:G10"/>
    <mergeCell ref="H9:H10"/>
    <mergeCell ref="J9:J10"/>
    <mergeCell ref="K17:L17"/>
    <mergeCell ref="L32:M33"/>
    <mergeCell ref="B33:C33"/>
    <mergeCell ref="D33:E33"/>
    <mergeCell ref="F33:G33"/>
    <mergeCell ref="H33:I33"/>
    <mergeCell ref="A19:A20"/>
    <mergeCell ref="K20:L20"/>
    <mergeCell ref="A23:A24"/>
    <mergeCell ref="K24:L24"/>
    <mergeCell ref="A25:A26"/>
    <mergeCell ref="K26:L26"/>
    <mergeCell ref="A21:A22"/>
    <mergeCell ref="K23:L23"/>
    <mergeCell ref="A34:A35"/>
    <mergeCell ref="B34:C34"/>
    <mergeCell ref="D34:E34"/>
    <mergeCell ref="F34:G34"/>
    <mergeCell ref="H34:I34"/>
    <mergeCell ref="J34:K34"/>
    <mergeCell ref="A27:A28"/>
    <mergeCell ref="A32:A33"/>
    <mergeCell ref="B32:I32"/>
    <mergeCell ref="J32:K33"/>
    <mergeCell ref="L34:M57"/>
    <mergeCell ref="B35:C35"/>
    <mergeCell ref="D35:E35"/>
    <mergeCell ref="F35:G35"/>
    <mergeCell ref="H35:I35"/>
    <mergeCell ref="J35:K35"/>
    <mergeCell ref="J37:K37"/>
    <mergeCell ref="J39:K39"/>
    <mergeCell ref="J41:K41"/>
    <mergeCell ref="J43:K43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D48:E48"/>
    <mergeCell ref="F48:G48"/>
    <mergeCell ref="H48:I48"/>
    <mergeCell ref="J48:K48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A50:A51"/>
    <mergeCell ref="A42:A43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A44:A45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A48:A49"/>
    <mergeCell ref="B48:C48"/>
    <mergeCell ref="B49:C49"/>
    <mergeCell ref="D49:E49"/>
    <mergeCell ref="F49:G49"/>
    <mergeCell ref="H49:I49"/>
    <mergeCell ref="J49:K49"/>
    <mergeCell ref="F46:G46"/>
    <mergeCell ref="H46:I46"/>
    <mergeCell ref="J46:K46"/>
    <mergeCell ref="B47:C47"/>
    <mergeCell ref="D47:E47"/>
    <mergeCell ref="D57:E57"/>
    <mergeCell ref="F57:G57"/>
    <mergeCell ref="H57:I57"/>
    <mergeCell ref="J57:K57"/>
    <mergeCell ref="F47:G47"/>
    <mergeCell ref="H47:I47"/>
    <mergeCell ref="J47:K47"/>
    <mergeCell ref="A56:A57"/>
    <mergeCell ref="B56:C56"/>
    <mergeCell ref="D56:E56"/>
    <mergeCell ref="F56:G56"/>
    <mergeCell ref="H56:I56"/>
    <mergeCell ref="J56:K56"/>
    <mergeCell ref="B57:C57"/>
    <mergeCell ref="A46:A47"/>
    <mergeCell ref="B46:C46"/>
    <mergeCell ref="D46:E46"/>
    <mergeCell ref="A52:A53"/>
    <mergeCell ref="B52:C52"/>
    <mergeCell ref="D52:E52"/>
    <mergeCell ref="F52:G52"/>
    <mergeCell ref="H52:I52"/>
    <mergeCell ref="J52:K52"/>
    <mergeCell ref="B53:C53"/>
    <mergeCell ref="L99:M100"/>
    <mergeCell ref="B100:C100"/>
    <mergeCell ref="D100:E100"/>
    <mergeCell ref="F100:G100"/>
    <mergeCell ref="H100:I100"/>
    <mergeCell ref="A101:A102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A99:A100"/>
    <mergeCell ref="B99:I99"/>
    <mergeCell ref="J99:K100"/>
    <mergeCell ref="L101:M118"/>
    <mergeCell ref="A113:A114"/>
    <mergeCell ref="B113:C113"/>
    <mergeCell ref="D113:E113"/>
    <mergeCell ref="F113:G113"/>
    <mergeCell ref="H103:I103"/>
    <mergeCell ref="J103:K103"/>
    <mergeCell ref="B104:C104"/>
    <mergeCell ref="D104:E104"/>
    <mergeCell ref="F104:G104"/>
    <mergeCell ref="H104:I104"/>
    <mergeCell ref="A105:A106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4:K104"/>
    <mergeCell ref="J106:K106"/>
    <mergeCell ref="A103:A104"/>
    <mergeCell ref="B103:C103"/>
    <mergeCell ref="D103:E103"/>
    <mergeCell ref="F103:G103"/>
    <mergeCell ref="A107:A108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J110:K110"/>
    <mergeCell ref="A111:A112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A109:A110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H112:I112"/>
    <mergeCell ref="J112:K112"/>
    <mergeCell ref="B141:C141"/>
    <mergeCell ref="G141:H141"/>
    <mergeCell ref="K141:M141"/>
    <mergeCell ref="B142:C142"/>
    <mergeCell ref="G142:H142"/>
    <mergeCell ref="K142:M142"/>
    <mergeCell ref="H116:I116"/>
    <mergeCell ref="J116:K116"/>
    <mergeCell ref="A117:A118"/>
    <mergeCell ref="B117:C117"/>
    <mergeCell ref="D117:E117"/>
    <mergeCell ref="F117:G117"/>
    <mergeCell ref="H117:I117"/>
    <mergeCell ref="J117:K117"/>
    <mergeCell ref="B118:C118"/>
    <mergeCell ref="J118:K118"/>
    <mergeCell ref="A115:A116"/>
    <mergeCell ref="B122:C122"/>
    <mergeCell ref="G122:H122"/>
    <mergeCell ref="K122:M122"/>
    <mergeCell ref="B123:C123"/>
    <mergeCell ref="G123:H123"/>
    <mergeCell ref="K123:M123"/>
    <mergeCell ref="B125:C125"/>
    <mergeCell ref="G150:H150"/>
    <mergeCell ref="K145:M145"/>
    <mergeCell ref="B146:C146"/>
    <mergeCell ref="G146:H146"/>
    <mergeCell ref="B147:C147"/>
    <mergeCell ref="G147:H147"/>
    <mergeCell ref="B143:C143"/>
    <mergeCell ref="G143:H143"/>
    <mergeCell ref="B144:C144"/>
    <mergeCell ref="G144:H144"/>
    <mergeCell ref="B145:C145"/>
    <mergeCell ref="G145:H145"/>
    <mergeCell ref="K143:M143"/>
    <mergeCell ref="B148:C148"/>
    <mergeCell ref="G148:H148"/>
    <mergeCell ref="B149:C149"/>
    <mergeCell ref="G149:H149"/>
    <mergeCell ref="B150:C150"/>
    <mergeCell ref="B155:C155"/>
    <mergeCell ref="G155:H155"/>
    <mergeCell ref="K155:M155"/>
    <mergeCell ref="B156:C156"/>
    <mergeCell ref="G156:H156"/>
    <mergeCell ref="B157:C157"/>
    <mergeCell ref="G157:H157"/>
    <mergeCell ref="H166:M166"/>
    <mergeCell ref="A169:B169"/>
    <mergeCell ref="C169:C170"/>
    <mergeCell ref="D169:F169"/>
    <mergeCell ref="G169:G170"/>
    <mergeCell ref="H169:H170"/>
    <mergeCell ref="A166:E166"/>
    <mergeCell ref="F166:G166"/>
    <mergeCell ref="A162:C162"/>
    <mergeCell ref="A163:C163"/>
    <mergeCell ref="A164:C164"/>
    <mergeCell ref="A165:C165"/>
    <mergeCell ref="D162:E162"/>
    <mergeCell ref="D163:E163"/>
    <mergeCell ref="D164:E164"/>
    <mergeCell ref="D165:E165"/>
    <mergeCell ref="F162:G162"/>
    <mergeCell ref="B153:C153"/>
    <mergeCell ref="G153:H153"/>
    <mergeCell ref="B151:C151"/>
    <mergeCell ref="G151:H151"/>
    <mergeCell ref="B152:C152"/>
    <mergeCell ref="G152:H152"/>
    <mergeCell ref="B154:C154"/>
    <mergeCell ref="G154:H154"/>
    <mergeCell ref="K154:L154"/>
    <mergeCell ref="K151:M151"/>
    <mergeCell ref="K153:L153"/>
    <mergeCell ref="M171:M172"/>
    <mergeCell ref="A175:A176"/>
    <mergeCell ref="K176:L176"/>
    <mergeCell ref="A178:B178"/>
    <mergeCell ref="C178:C179"/>
    <mergeCell ref="D178:F178"/>
    <mergeCell ref="G178:G179"/>
    <mergeCell ref="H178:H179"/>
    <mergeCell ref="J178:J179"/>
    <mergeCell ref="A171:A172"/>
    <mergeCell ref="K171:L171"/>
    <mergeCell ref="K172:L172"/>
    <mergeCell ref="A173:A174"/>
    <mergeCell ref="K173:L173"/>
    <mergeCell ref="K174:L174"/>
    <mergeCell ref="K175:L175"/>
    <mergeCell ref="M173:M174"/>
    <mergeCell ref="M175:M176"/>
    <mergeCell ref="A190:M190"/>
    <mergeCell ref="A191:M191"/>
    <mergeCell ref="J193:M193"/>
    <mergeCell ref="D194:E194"/>
    <mergeCell ref="J199:M199"/>
    <mergeCell ref="K200:L200"/>
    <mergeCell ref="A180:A181"/>
    <mergeCell ref="K181:L181"/>
    <mergeCell ref="A182:A183"/>
    <mergeCell ref="K183:L183"/>
    <mergeCell ref="A184:A185"/>
    <mergeCell ref="K185:L185"/>
    <mergeCell ref="K180:L180"/>
    <mergeCell ref="K182:L182"/>
    <mergeCell ref="K184:L184"/>
    <mergeCell ref="D53:E53"/>
    <mergeCell ref="F53:G53"/>
    <mergeCell ref="H53:I53"/>
    <mergeCell ref="J53:K53"/>
    <mergeCell ref="A54:A55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A86:A87"/>
    <mergeCell ref="B86:I86"/>
    <mergeCell ref="J86:K87"/>
    <mergeCell ref="L86:M87"/>
    <mergeCell ref="B87:C87"/>
    <mergeCell ref="D87:E87"/>
    <mergeCell ref="F87:G87"/>
    <mergeCell ref="H87:I87"/>
    <mergeCell ref="A88:A89"/>
    <mergeCell ref="B88:C88"/>
    <mergeCell ref="D88:E88"/>
    <mergeCell ref="F88:G88"/>
    <mergeCell ref="H88:I88"/>
    <mergeCell ref="J88:K88"/>
    <mergeCell ref="L88:M97"/>
    <mergeCell ref="B89:C89"/>
    <mergeCell ref="D89:E89"/>
    <mergeCell ref="F89:G89"/>
    <mergeCell ref="H89:I89"/>
    <mergeCell ref="J89:K89"/>
    <mergeCell ref="A90:A91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A92:A93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A94:A95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A96:A97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H113:I113"/>
    <mergeCell ref="J113:K113"/>
    <mergeCell ref="B114:C114"/>
    <mergeCell ref="D114:E114"/>
    <mergeCell ref="F114:G114"/>
    <mergeCell ref="H114:I114"/>
    <mergeCell ref="J114:K114"/>
    <mergeCell ref="D118:E118"/>
    <mergeCell ref="F118:G118"/>
    <mergeCell ref="H118:I118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F163:G163"/>
    <mergeCell ref="F164:G164"/>
    <mergeCell ref="F165:G165"/>
    <mergeCell ref="H162:M162"/>
    <mergeCell ref="H163:M163"/>
    <mergeCell ref="H164:M164"/>
    <mergeCell ref="H165:M165"/>
    <mergeCell ref="A159:C159"/>
    <mergeCell ref="A160:C160"/>
    <mergeCell ref="A161:C161"/>
    <mergeCell ref="D159:E159"/>
    <mergeCell ref="D160:E160"/>
    <mergeCell ref="D161:E161"/>
    <mergeCell ref="B136:C136"/>
    <mergeCell ref="G136:H136"/>
    <mergeCell ref="B137:C137"/>
    <mergeCell ref="G137:H137"/>
    <mergeCell ref="K137:L137"/>
    <mergeCell ref="B127:C127"/>
    <mergeCell ref="G127:H127"/>
    <mergeCell ref="B128:C128"/>
    <mergeCell ref="G128:H128"/>
    <mergeCell ref="G133:H133"/>
    <mergeCell ref="B134:C134"/>
    <mergeCell ref="G134:H134"/>
    <mergeCell ref="K134:M134"/>
    <mergeCell ref="G131:H131"/>
    <mergeCell ref="K131:M131"/>
    <mergeCell ref="B132:C132"/>
    <mergeCell ref="G132:H132"/>
    <mergeCell ref="K132:M132"/>
    <mergeCell ref="B133:C133"/>
    <mergeCell ref="G125:H125"/>
    <mergeCell ref="B126:C126"/>
    <mergeCell ref="G126:H126"/>
    <mergeCell ref="B124:C124"/>
    <mergeCell ref="G124:H124"/>
    <mergeCell ref="K124:M124"/>
    <mergeCell ref="F159:G159"/>
    <mergeCell ref="F160:G160"/>
    <mergeCell ref="F161:G161"/>
    <mergeCell ref="H159:M159"/>
    <mergeCell ref="H160:M160"/>
    <mergeCell ref="H161:M161"/>
    <mergeCell ref="B139:C139"/>
    <mergeCell ref="G139:H139"/>
    <mergeCell ref="B129:C129"/>
    <mergeCell ref="G129:H129"/>
    <mergeCell ref="B130:C130"/>
    <mergeCell ref="G130:H130"/>
    <mergeCell ref="B135:C135"/>
    <mergeCell ref="G135:H135"/>
    <mergeCell ref="B138:C138"/>
    <mergeCell ref="G138:H138"/>
    <mergeCell ref="K138:M138"/>
    <mergeCell ref="B131:C131"/>
  </mergeCells>
  <pageMargins left="0.19685039370078741" right="0.19685039370078741" top="0.19685039370078741" bottom="0.19685039370078741" header="0.2" footer="0.19685039370078741"/>
  <pageSetup paperSize="9" scale="97" fitToHeight="0" orientation="landscape" r:id="rId1"/>
  <rowBreaks count="3" manualBreakCount="3">
    <brk id="43" max="12" man="1"/>
    <brk id="151" max="12" man="1"/>
    <brk id="183" max="12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52"/>
  <sheetViews>
    <sheetView topLeftCell="A47" zoomScaleNormal="100" workbookViewId="0">
      <selection activeCell="E70" sqref="E70"/>
    </sheetView>
  </sheetViews>
  <sheetFormatPr defaultRowHeight="15" x14ac:dyDescent="0.25"/>
  <cols>
    <col min="1" max="1" width="15" customWidth="1"/>
    <col min="2" max="2" width="7" customWidth="1"/>
    <col min="3" max="3" width="12" customWidth="1"/>
    <col min="4" max="4" width="12.42578125" customWidth="1"/>
    <col min="5" max="5" width="14.140625" customWidth="1"/>
    <col min="6" max="6" width="12" customWidth="1"/>
    <col min="7" max="7" width="12.42578125" customWidth="1"/>
    <col min="8" max="8" width="10.7109375" style="5" customWidth="1"/>
    <col min="9" max="9" width="10.8554687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6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6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6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6" ht="22.5" x14ac:dyDescent="0.25">
      <c r="A4" s="521" t="s">
        <v>372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6" ht="8.25" customHeight="1" x14ac:dyDescent="0.25"/>
    <row r="6" spans="1:16" ht="17.25" customHeight="1" x14ac:dyDescent="0.25">
      <c r="A6" s="1" t="s">
        <v>373</v>
      </c>
      <c r="B6" s="7"/>
      <c r="C6" s="7"/>
      <c r="D6" s="7"/>
      <c r="E6" s="7"/>
      <c r="F6" s="7"/>
      <c r="G6" s="7"/>
      <c r="J6" s="7"/>
      <c r="K6" s="7"/>
      <c r="L6" s="7"/>
      <c r="M6" s="7"/>
    </row>
    <row r="7" spans="1:16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6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6" ht="28.5" customHeight="1" x14ac:dyDescent="0.25">
      <c r="A9" s="524" t="s">
        <v>6</v>
      </c>
      <c r="B9" s="524"/>
      <c r="C9" s="336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336" t="s">
        <v>13</v>
      </c>
      <c r="L9" s="336" t="s">
        <v>14</v>
      </c>
      <c r="M9" s="336" t="s">
        <v>15</v>
      </c>
      <c r="N9" s="148"/>
      <c r="O9" s="148" t="s">
        <v>181</v>
      </c>
    </row>
    <row r="10" spans="1:16" ht="18" customHeight="1" x14ac:dyDescent="0.25">
      <c r="A10" s="336" t="s">
        <v>16</v>
      </c>
      <c r="B10" s="336" t="s">
        <v>17</v>
      </c>
      <c r="C10" s="11"/>
      <c r="D10" s="336" t="s">
        <v>18</v>
      </c>
      <c r="E10" s="336" t="s">
        <v>19</v>
      </c>
      <c r="F10" s="336" t="s">
        <v>20</v>
      </c>
      <c r="G10" s="526"/>
      <c r="H10" s="527"/>
      <c r="I10" s="10" t="s">
        <v>21</v>
      </c>
      <c r="J10" s="526"/>
      <c r="K10" s="336" t="s">
        <v>22</v>
      </c>
      <c r="L10" s="336" t="s">
        <v>23</v>
      </c>
      <c r="M10" s="336" t="s">
        <v>24</v>
      </c>
    </row>
    <row r="11" spans="1:16" s="18" customFormat="1" ht="18" customHeight="1" x14ac:dyDescent="0.25">
      <c r="A11" s="530" t="s">
        <v>25</v>
      </c>
      <c r="B11" s="348" t="s">
        <v>21</v>
      </c>
      <c r="C11" s="116">
        <f>+G11*100/J12</f>
        <v>436170</v>
      </c>
      <c r="D11" s="117">
        <f>+$G$11*D12/100</f>
        <v>401799.80400000006</v>
      </c>
      <c r="E11" s="117">
        <f>+$G$11*E12/100</f>
        <v>12823.398000000001</v>
      </c>
      <c r="F11" s="117">
        <f>+$G$11*F12/100</f>
        <v>12823.398000000001</v>
      </c>
      <c r="G11" s="23">
        <f>+I11*H11</f>
        <v>427446.60000000003</v>
      </c>
      <c r="H11" s="17">
        <v>31</v>
      </c>
      <c r="I11" s="17">
        <f>21*0.5*1340*0.98</f>
        <v>13788.6</v>
      </c>
      <c r="J11" s="348"/>
      <c r="K11" s="531">
        <v>4080</v>
      </c>
      <c r="L11" s="532"/>
      <c r="M11" s="348"/>
      <c r="O11" s="19"/>
    </row>
    <row r="12" spans="1:16" s="18" customFormat="1" ht="18" customHeight="1" x14ac:dyDescent="0.25">
      <c r="A12" s="530"/>
      <c r="B12" s="348" t="s">
        <v>26</v>
      </c>
      <c r="C12" s="20"/>
      <c r="D12" s="21">
        <v>94</v>
      </c>
      <c r="E12" s="21">
        <v>3</v>
      </c>
      <c r="F12" s="21">
        <v>3</v>
      </c>
      <c r="G12" s="346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6" s="18" customFormat="1" ht="18" customHeight="1" x14ac:dyDescent="0.25">
      <c r="A13" s="530" t="s">
        <v>27</v>
      </c>
      <c r="B13" s="348" t="s">
        <v>21</v>
      </c>
      <c r="C13" s="151">
        <v>442530</v>
      </c>
      <c r="D13" s="346">
        <v>434299.5</v>
      </c>
      <c r="E13" s="14">
        <v>0</v>
      </c>
      <c r="F13" s="152">
        <v>4056</v>
      </c>
      <c r="G13" s="346">
        <f>SUM(D13:F13)</f>
        <v>438355.5</v>
      </c>
      <c r="H13" s="153">
        <v>31</v>
      </c>
      <c r="I13" s="394">
        <f>+G13/H13</f>
        <v>14140.5</v>
      </c>
      <c r="J13" s="348"/>
      <c r="K13" s="152">
        <v>2746.3026443904255</v>
      </c>
      <c r="L13" s="152">
        <v>3217.8553206175352</v>
      </c>
      <c r="M13" s="348"/>
      <c r="N13" s="28"/>
      <c r="O13" s="19"/>
      <c r="P13" s="19">
        <f>+P12/10.9</f>
        <v>407273.39449541282</v>
      </c>
    </row>
    <row r="14" spans="1:16" s="18" customFormat="1" ht="18" customHeight="1" x14ac:dyDescent="0.25">
      <c r="A14" s="530"/>
      <c r="B14" s="348" t="s">
        <v>26</v>
      </c>
      <c r="C14" s="20"/>
      <c r="D14" s="21">
        <f>+D13/G13*100</f>
        <v>99.074723597627951</v>
      </c>
      <c r="E14" s="29">
        <f>+E13/G13*100</f>
        <v>0</v>
      </c>
      <c r="F14" s="29">
        <f>+F13/G13*100</f>
        <v>0.92527640237204734</v>
      </c>
      <c r="G14" s="346">
        <f t="shared" ref="G14" si="0">SUM(D14:F14)</f>
        <v>100</v>
      </c>
      <c r="H14" s="153"/>
      <c r="I14" s="23"/>
      <c r="J14" s="30">
        <f>+G13/C13*100</f>
        <v>99.056674123788213</v>
      </c>
      <c r="K14" s="534">
        <f>100-J14</f>
        <v>0.94332587621178732</v>
      </c>
      <c r="L14" s="534"/>
      <c r="M14" s="31">
        <v>105.41935483870968</v>
      </c>
      <c r="O14" s="28"/>
      <c r="P14" s="18">
        <f>+P13*2390</f>
        <v>973383412.8440367</v>
      </c>
    </row>
    <row r="15" spans="1:16" s="18" customFormat="1" ht="20.25" customHeight="1" x14ac:dyDescent="0.25">
      <c r="A15" s="530" t="s">
        <v>28</v>
      </c>
      <c r="B15" s="348" t="s">
        <v>21</v>
      </c>
      <c r="C15" s="346">
        <f>+C13-C11</f>
        <v>6360</v>
      </c>
      <c r="D15" s="13">
        <f>+D13-D11</f>
        <v>32499.695999999938</v>
      </c>
      <c r="E15" s="32">
        <f>+(E13-E11)</f>
        <v>-12823.398000000001</v>
      </c>
      <c r="F15" s="14">
        <f>+F13-F11</f>
        <v>-8767.398000000001</v>
      </c>
      <c r="G15" s="346">
        <f>SUM(D15:F15)</f>
        <v>10908.899999999936</v>
      </c>
      <c r="H15" s="153"/>
      <c r="I15" s="23"/>
      <c r="J15" s="13"/>
      <c r="K15" s="33"/>
      <c r="L15" s="33"/>
      <c r="M15" s="348"/>
      <c r="N15" s="34"/>
      <c r="P15" s="18">
        <f>+P14/418800</f>
        <v>2324.2201834862385</v>
      </c>
    </row>
    <row r="16" spans="1:16" s="18" customFormat="1" ht="18.75" customHeight="1" x14ac:dyDescent="0.25">
      <c r="A16" s="530"/>
      <c r="B16" s="348" t="s">
        <v>26</v>
      </c>
      <c r="C16" s="20"/>
      <c r="D16" s="35">
        <f>+D14-D12</f>
        <v>5.0747235976279512</v>
      </c>
      <c r="E16" s="36">
        <f>+E14-E12</f>
        <v>-3</v>
      </c>
      <c r="F16" s="37">
        <f>+F14-F12</f>
        <v>-2.0747235976279526</v>
      </c>
      <c r="G16" s="23">
        <v>0</v>
      </c>
      <c r="H16" s="153"/>
      <c r="I16" s="23"/>
      <c r="J16" s="348"/>
      <c r="K16" s="33"/>
      <c r="L16" s="33"/>
      <c r="M16" s="348"/>
      <c r="N16" s="34">
        <f>97.5+1.29</f>
        <v>98.79</v>
      </c>
    </row>
    <row r="17" spans="1:15" ht="16.5" customHeight="1" x14ac:dyDescent="0.25">
      <c r="A17" s="1" t="s">
        <v>374</v>
      </c>
      <c r="B17" s="7"/>
      <c r="C17" s="7"/>
      <c r="D17" s="7"/>
      <c r="E17" s="7"/>
      <c r="F17" s="7"/>
      <c r="G17" s="7"/>
      <c r="J17" s="7"/>
      <c r="K17" s="7"/>
      <c r="L17" s="7"/>
      <c r="M17" s="7"/>
    </row>
    <row r="18" spans="1:15" ht="16.5" customHeight="1" x14ac:dyDescent="0.25">
      <c r="A18" s="1" t="s">
        <v>30</v>
      </c>
      <c r="B18" s="7"/>
      <c r="C18" s="7"/>
      <c r="D18" s="7"/>
      <c r="E18" s="7"/>
      <c r="F18" s="7"/>
      <c r="G18" s="7"/>
      <c r="J18" s="7"/>
      <c r="K18" s="7"/>
      <c r="L18" s="7"/>
      <c r="M18" s="7"/>
    </row>
    <row r="19" spans="1:15" ht="16.5" customHeight="1" x14ac:dyDescent="0.25">
      <c r="A19" s="2" t="s">
        <v>31</v>
      </c>
      <c r="B19" s="7"/>
      <c r="C19" s="7"/>
      <c r="D19" s="7"/>
      <c r="E19" s="7"/>
      <c r="F19" s="7"/>
      <c r="G19" s="7"/>
      <c r="J19" s="7"/>
      <c r="K19" s="7"/>
      <c r="L19" s="7"/>
      <c r="M19" s="7"/>
    </row>
    <row r="20" spans="1:15" s="38" customFormat="1" ht="15.75" customHeight="1" x14ac:dyDescent="0.25">
      <c r="A20" s="524" t="s">
        <v>32</v>
      </c>
      <c r="B20" s="542" t="s">
        <v>33</v>
      </c>
      <c r="C20" s="542"/>
      <c r="D20" s="542"/>
      <c r="E20" s="542"/>
      <c r="F20" s="542"/>
      <c r="G20" s="542"/>
      <c r="H20" s="542"/>
      <c r="I20" s="542"/>
      <c r="J20" s="543" t="s">
        <v>34</v>
      </c>
      <c r="K20" s="544"/>
      <c r="L20" s="524" t="s">
        <v>35</v>
      </c>
      <c r="M20" s="524"/>
      <c r="O20" s="38" t="s">
        <v>150</v>
      </c>
    </row>
    <row r="21" spans="1:15" s="38" customFormat="1" ht="17.25" customHeight="1" x14ac:dyDescent="0.25">
      <c r="A21" s="524"/>
      <c r="B21" s="528" t="s">
        <v>18</v>
      </c>
      <c r="C21" s="529"/>
      <c r="D21" s="528" t="s">
        <v>19</v>
      </c>
      <c r="E21" s="529"/>
      <c r="F21" s="528" t="s">
        <v>20</v>
      </c>
      <c r="G21" s="529"/>
      <c r="H21" s="528" t="s">
        <v>36</v>
      </c>
      <c r="I21" s="529"/>
      <c r="J21" s="545"/>
      <c r="K21" s="546"/>
      <c r="L21" s="524"/>
      <c r="M21" s="524"/>
    </row>
    <row r="22" spans="1:15" s="38" customFormat="1" ht="15" customHeight="1" x14ac:dyDescent="0.25">
      <c r="A22" s="637" t="s">
        <v>39</v>
      </c>
      <c r="B22" s="536">
        <v>12798</v>
      </c>
      <c r="C22" s="537"/>
      <c r="D22" s="536"/>
      <c r="E22" s="537"/>
      <c r="F22" s="536">
        <v>61.5</v>
      </c>
      <c r="G22" s="537"/>
      <c r="H22" s="538">
        <f>+B22+D22+F22</f>
        <v>12859.5</v>
      </c>
      <c r="I22" s="539"/>
      <c r="J22" s="540"/>
      <c r="K22" s="541"/>
      <c r="L22" s="564"/>
      <c r="M22" s="565"/>
    </row>
    <row r="23" spans="1:15" s="38" customFormat="1" ht="15" customHeight="1" x14ac:dyDescent="0.25">
      <c r="A23" s="637"/>
      <c r="B23" s="550">
        <f>+B22/$H$22*100</f>
        <v>99.52175434503674</v>
      </c>
      <c r="C23" s="551" t="e">
        <f>+C22/C44*100</f>
        <v>#REF!</v>
      </c>
      <c r="D23" s="550">
        <f t="shared" ref="D23" si="1">+D22/$H$22*100</f>
        <v>0</v>
      </c>
      <c r="E23" s="551" t="e">
        <f>+E22/E44*100</f>
        <v>#REF!</v>
      </c>
      <c r="F23" s="550">
        <f t="shared" ref="F23" si="2">+F22/$H$22*100</f>
        <v>0.47824565496325677</v>
      </c>
      <c r="G23" s="551" t="e">
        <f>+G22/G44*100</f>
        <v>#REF!</v>
      </c>
      <c r="H23" s="550">
        <f t="shared" ref="H23" si="3">+H22/$H$22*100</f>
        <v>100</v>
      </c>
      <c r="I23" s="551" t="e">
        <f>+I22/I44*100</f>
        <v>#REF!</v>
      </c>
      <c r="J23" s="549">
        <f>+H22/$H$44*100</f>
        <v>2.9352451972294404</v>
      </c>
      <c r="K23" s="541"/>
      <c r="L23" s="566"/>
      <c r="M23" s="567"/>
    </row>
    <row r="24" spans="1:15" s="38" customFormat="1" ht="15" customHeight="1" x14ac:dyDescent="0.25">
      <c r="A24" s="637" t="s">
        <v>218</v>
      </c>
      <c r="B24" s="536">
        <v>6015</v>
      </c>
      <c r="C24" s="537"/>
      <c r="D24" s="536"/>
      <c r="E24" s="537"/>
      <c r="F24" s="536">
        <v>46.5</v>
      </c>
      <c r="G24" s="537"/>
      <c r="H24" s="547">
        <f>+B24+D24+F24</f>
        <v>6061.5</v>
      </c>
      <c r="I24" s="548"/>
      <c r="J24" s="549"/>
      <c r="K24" s="541"/>
      <c r="L24" s="566"/>
      <c r="M24" s="567"/>
    </row>
    <row r="25" spans="1:15" s="38" customFormat="1" ht="15" customHeight="1" x14ac:dyDescent="0.25">
      <c r="A25" s="637"/>
      <c r="B25" s="550">
        <f>+B24/$H$24*100</f>
        <v>99.232863152684985</v>
      </c>
      <c r="C25" s="551" t="e">
        <f>+C24/C32*100</f>
        <v>#DIV/0!</v>
      </c>
      <c r="D25" s="550">
        <f t="shared" ref="D25" si="4">+D24/$H$24*100</f>
        <v>0</v>
      </c>
      <c r="E25" s="551" t="e">
        <f t="shared" ref="E25" si="5">+E24/E32*100</f>
        <v>#DIV/0!</v>
      </c>
      <c r="F25" s="550">
        <f t="shared" ref="F25" si="6">+F24/$H$24*100</f>
        <v>0.76713684731502108</v>
      </c>
      <c r="G25" s="551" t="e">
        <f t="shared" ref="G25" si="7">+G24/G32*100</f>
        <v>#DIV/0!</v>
      </c>
      <c r="H25" s="550">
        <f t="shared" ref="H25" si="8">+H24/$H$24*100</f>
        <v>100</v>
      </c>
      <c r="I25" s="551" t="e">
        <f t="shared" ref="I25" si="9">+I24/I32*100</f>
        <v>#DIV/0!</v>
      </c>
      <c r="J25" s="549">
        <f>+H24/$H$44*100</f>
        <v>1.3835676941565578</v>
      </c>
      <c r="K25" s="541"/>
      <c r="L25" s="566"/>
      <c r="M25" s="567"/>
    </row>
    <row r="26" spans="1:15" s="38" customFormat="1" ht="15" customHeight="1" x14ac:dyDescent="0.25">
      <c r="A26" s="644" t="s">
        <v>379</v>
      </c>
      <c r="B26" s="556">
        <v>44280</v>
      </c>
      <c r="C26" s="529"/>
      <c r="D26" s="536"/>
      <c r="E26" s="537"/>
      <c r="F26" s="536">
        <v>277.5</v>
      </c>
      <c r="G26" s="537"/>
      <c r="H26" s="547">
        <f>+B26+D26+F26</f>
        <v>44557.5</v>
      </c>
      <c r="I26" s="548"/>
      <c r="J26" s="549"/>
      <c r="K26" s="541"/>
      <c r="L26" s="566"/>
      <c r="M26" s="567"/>
    </row>
    <row r="27" spans="1:15" s="38" customFormat="1" ht="15" customHeight="1" x14ac:dyDescent="0.25">
      <c r="A27" s="645"/>
      <c r="B27" s="550">
        <f>+B26/$H$26*100</f>
        <v>99.377209224036349</v>
      </c>
      <c r="C27" s="551" t="e">
        <f>+C26/#REF!*100</f>
        <v>#REF!</v>
      </c>
      <c r="D27" s="550">
        <f t="shared" ref="D27" si="10">+D26/$H$26*100</f>
        <v>0</v>
      </c>
      <c r="E27" s="551" t="e">
        <f>+E26/#REF!*100</f>
        <v>#REF!</v>
      </c>
      <c r="F27" s="550">
        <f t="shared" ref="F27" si="11">+F26/$H$26*100</f>
        <v>0.62279077596364241</v>
      </c>
      <c r="G27" s="551" t="e">
        <f>+G26/#REF!*100</f>
        <v>#REF!</v>
      </c>
      <c r="H27" s="550">
        <f t="shared" ref="H27" si="12">+H26/$H$26*100</f>
        <v>100</v>
      </c>
      <c r="I27" s="551" t="e">
        <f>+I26/#REF!*100</f>
        <v>#REF!</v>
      </c>
      <c r="J27" s="549">
        <f>+H26/$H$44*100</f>
        <v>10.170472248186229</v>
      </c>
      <c r="K27" s="541"/>
      <c r="L27" s="566"/>
      <c r="M27" s="567"/>
    </row>
    <row r="28" spans="1:15" s="38" customFormat="1" ht="15" customHeight="1" x14ac:dyDescent="0.25">
      <c r="A28" s="689" t="s">
        <v>117</v>
      </c>
      <c r="B28" s="536">
        <v>33048</v>
      </c>
      <c r="C28" s="537"/>
      <c r="D28" s="536"/>
      <c r="E28" s="537"/>
      <c r="F28" s="536">
        <v>162</v>
      </c>
      <c r="G28" s="537"/>
      <c r="H28" s="547">
        <f>+B28+D28+F28</f>
        <v>33210</v>
      </c>
      <c r="I28" s="548"/>
      <c r="J28" s="549"/>
      <c r="K28" s="541"/>
      <c r="L28" s="566"/>
      <c r="M28" s="567"/>
    </row>
    <row r="29" spans="1:15" s="38" customFormat="1" ht="15" customHeight="1" x14ac:dyDescent="0.25">
      <c r="A29" s="690"/>
      <c r="B29" s="554">
        <f>+B28/$H$28*100</f>
        <v>99.512195121951223</v>
      </c>
      <c r="C29" s="555" t="e">
        <f>+C28/C30*100</f>
        <v>#DIV/0!</v>
      </c>
      <c r="D29" s="554">
        <f t="shared" ref="D29" si="13">+D28/$H$28*100</f>
        <v>0</v>
      </c>
      <c r="E29" s="555" t="e">
        <f t="shared" ref="E29" si="14">+E28/E30*100</f>
        <v>#DIV/0!</v>
      </c>
      <c r="F29" s="554">
        <f t="shared" ref="F29" si="15">+F28/$H$28*100</f>
        <v>0.48780487804878048</v>
      </c>
      <c r="G29" s="555" t="e">
        <f t="shared" ref="G29" si="16">+G28/G30*100</f>
        <v>#DIV/0!</v>
      </c>
      <c r="H29" s="554">
        <f t="shared" ref="H29" si="17">+H28/$H$28*100</f>
        <v>100</v>
      </c>
      <c r="I29" s="555" t="e">
        <f t="shared" ref="I29" si="18">+I28/I30*100</f>
        <v>#DIV/0!</v>
      </c>
      <c r="J29" s="549">
        <f>+H28/$H$44*100</f>
        <v>7.5803486138644374</v>
      </c>
      <c r="K29" s="541"/>
      <c r="L29" s="566"/>
      <c r="M29" s="567"/>
    </row>
    <row r="30" spans="1:15" s="38" customFormat="1" ht="15" customHeight="1" x14ac:dyDescent="0.25">
      <c r="A30" s="637" t="s">
        <v>40</v>
      </c>
      <c r="B30" s="536">
        <v>41955</v>
      </c>
      <c r="C30" s="537"/>
      <c r="D30" s="536"/>
      <c r="E30" s="537"/>
      <c r="F30" s="536">
        <v>484.5</v>
      </c>
      <c r="G30" s="537"/>
      <c r="H30" s="547">
        <f>+B30+D30+F30</f>
        <v>42439.5</v>
      </c>
      <c r="I30" s="548"/>
      <c r="J30" s="549"/>
      <c r="K30" s="541"/>
      <c r="L30" s="566"/>
      <c r="M30" s="567"/>
    </row>
    <row r="31" spans="1:15" s="38" customFormat="1" ht="15" customHeight="1" x14ac:dyDescent="0.25">
      <c r="A31" s="637"/>
      <c r="B31" s="554">
        <f>+B30/$H$30*100</f>
        <v>98.858374863040339</v>
      </c>
      <c r="C31" s="555" t="e">
        <f>+C30/C32*100</f>
        <v>#DIV/0!</v>
      </c>
      <c r="D31" s="554">
        <f t="shared" ref="D31" si="19">+D30/$H$30*100</f>
        <v>0</v>
      </c>
      <c r="E31" s="555" t="e">
        <f t="shared" ref="E31" si="20">+E30/E32*100</f>
        <v>#DIV/0!</v>
      </c>
      <c r="F31" s="554">
        <f t="shared" ref="F31" si="21">+F30/$H$30*100</f>
        <v>1.1416251369596719</v>
      </c>
      <c r="G31" s="555" t="e">
        <f t="shared" ref="G31" si="22">+G30/G32*100</f>
        <v>#DIV/0!</v>
      </c>
      <c r="H31" s="554">
        <f t="shared" ref="H31" si="23">+H30/$H$30*100</f>
        <v>100</v>
      </c>
      <c r="I31" s="555" t="e">
        <f t="shared" ref="I31" si="24">+I30/I32*100</f>
        <v>#DIV/0!</v>
      </c>
      <c r="J31" s="549">
        <f>+H30/$H$44*100</f>
        <v>9.6870281541132126</v>
      </c>
      <c r="K31" s="541"/>
      <c r="L31" s="566"/>
      <c r="M31" s="567"/>
    </row>
    <row r="32" spans="1:15" s="38" customFormat="1" ht="15" customHeight="1" x14ac:dyDescent="0.25">
      <c r="A32" s="637" t="s">
        <v>174</v>
      </c>
      <c r="B32" s="536">
        <v>10815</v>
      </c>
      <c r="C32" s="537"/>
      <c r="D32" s="536"/>
      <c r="E32" s="537"/>
      <c r="F32" s="536">
        <v>25.5</v>
      </c>
      <c r="G32" s="537"/>
      <c r="H32" s="547">
        <f>+B32+D32+F32</f>
        <v>10840.5</v>
      </c>
      <c r="I32" s="548"/>
      <c r="J32" s="549"/>
      <c r="K32" s="541"/>
      <c r="L32" s="566"/>
      <c r="M32" s="567"/>
    </row>
    <row r="33" spans="1:15" s="38" customFormat="1" ht="15" customHeight="1" x14ac:dyDescent="0.25">
      <c r="A33" s="637"/>
      <c r="B33" s="550">
        <f>+B32/$H$32*100</f>
        <v>99.764770997647716</v>
      </c>
      <c r="C33" s="551" t="e">
        <f>+C32/C44*100</f>
        <v>#REF!</v>
      </c>
      <c r="D33" s="550">
        <f t="shared" ref="D33" si="25">+D32/$H$32*100</f>
        <v>0</v>
      </c>
      <c r="E33" s="551" t="e">
        <f>+E32/E44*100</f>
        <v>#REF!</v>
      </c>
      <c r="F33" s="550">
        <f t="shared" ref="F33" si="26">+F32/$H$32*100</f>
        <v>0.23522900235229002</v>
      </c>
      <c r="G33" s="551" t="e">
        <f>+G32/G44*100</f>
        <v>#REF!</v>
      </c>
      <c r="H33" s="550">
        <f t="shared" ref="H33" si="27">+H32/$H$32*100</f>
        <v>100</v>
      </c>
      <c r="I33" s="551" t="e">
        <f>+I32/I44*100</f>
        <v>#REF!</v>
      </c>
      <c r="J33" s="549">
        <f>+H32/$H$44*100</f>
        <v>2.4743983483468059</v>
      </c>
      <c r="K33" s="541"/>
      <c r="L33" s="566"/>
      <c r="M33" s="567"/>
    </row>
    <row r="34" spans="1:15" s="38" customFormat="1" ht="15" customHeight="1" x14ac:dyDescent="0.25">
      <c r="A34" s="637" t="s">
        <v>380</v>
      </c>
      <c r="B34" s="536">
        <v>47070</v>
      </c>
      <c r="C34" s="537"/>
      <c r="D34" s="536"/>
      <c r="E34" s="537"/>
      <c r="F34" s="536">
        <v>972</v>
      </c>
      <c r="G34" s="537"/>
      <c r="H34" s="547">
        <f>+B34+D34+F34</f>
        <v>48042</v>
      </c>
      <c r="I34" s="548"/>
      <c r="J34" s="549"/>
      <c r="K34" s="541"/>
      <c r="L34" s="566"/>
      <c r="M34" s="567"/>
    </row>
    <row r="35" spans="1:15" s="38" customFormat="1" ht="15" customHeight="1" x14ac:dyDescent="0.25">
      <c r="A35" s="637"/>
      <c r="B35" s="554">
        <f>+B34/$H$34*100</f>
        <v>97.976770325964779</v>
      </c>
      <c r="C35" s="555" t="e">
        <f>+C34/C36*100</f>
        <v>#DIV/0!</v>
      </c>
      <c r="D35" s="554">
        <f t="shared" ref="D35" si="28">+D34/$H$30*100</f>
        <v>0</v>
      </c>
      <c r="E35" s="555" t="e">
        <f t="shared" ref="E35" si="29">+E34/E36*100</f>
        <v>#DIV/0!</v>
      </c>
      <c r="F35" s="554">
        <f>+F34/$H$34*100</f>
        <v>2.0232296740352194</v>
      </c>
      <c r="G35" s="555" t="e">
        <f t="shared" ref="G35:I35" si="30">+G34/G36*100</f>
        <v>#DIV/0!</v>
      </c>
      <c r="H35" s="554">
        <f>+H34/$H$34*100</f>
        <v>100</v>
      </c>
      <c r="I35" s="555" t="e">
        <f t="shared" si="30"/>
        <v>#DIV/0!</v>
      </c>
      <c r="J35" s="549">
        <f>+H34/$H$44*100</f>
        <v>10.965826802387092</v>
      </c>
      <c r="K35" s="541"/>
      <c r="L35" s="566"/>
      <c r="M35" s="567"/>
    </row>
    <row r="36" spans="1:15" s="38" customFormat="1" ht="15" customHeight="1" x14ac:dyDescent="0.25">
      <c r="A36" s="530" t="s">
        <v>305</v>
      </c>
      <c r="B36" s="536">
        <v>26700</v>
      </c>
      <c r="C36" s="537"/>
      <c r="D36" s="536"/>
      <c r="E36" s="537"/>
      <c r="F36" s="536">
        <v>100.5</v>
      </c>
      <c r="G36" s="537"/>
      <c r="H36" s="547">
        <f>+B36+D36+F36</f>
        <v>26800.5</v>
      </c>
      <c r="I36" s="548"/>
      <c r="J36" s="549"/>
      <c r="K36" s="541"/>
      <c r="L36" s="566"/>
      <c r="M36" s="567"/>
    </row>
    <row r="37" spans="1:15" s="38" customFormat="1" ht="15" customHeight="1" x14ac:dyDescent="0.25">
      <c r="A37" s="530"/>
      <c r="B37" s="550">
        <f>+B36/$H$36*100</f>
        <v>99.625006996138126</v>
      </c>
      <c r="C37" s="551" t="e">
        <f>+C36/#REF!*100</f>
        <v>#REF!</v>
      </c>
      <c r="D37" s="550">
        <f t="shared" ref="D37" si="31">+D36/$H$36*100</f>
        <v>0</v>
      </c>
      <c r="E37" s="551" t="e">
        <f>+E36/#REF!*100</f>
        <v>#REF!</v>
      </c>
      <c r="F37" s="550">
        <f t="shared" ref="F37" si="32">+F36/$H$36*100</f>
        <v>0.37499300386186823</v>
      </c>
      <c r="G37" s="551" t="e">
        <f>+G36/#REF!*100</f>
        <v>#REF!</v>
      </c>
      <c r="H37" s="550">
        <f t="shared" ref="H37" si="33">+H36/$H$36*100</f>
        <v>100</v>
      </c>
      <c r="I37" s="551" t="e">
        <f>+I36/#REF!*100</f>
        <v>#REF!</v>
      </c>
      <c r="J37" s="549">
        <f>+H36/$H$44*100</f>
        <v>6.1173481790386584</v>
      </c>
      <c r="K37" s="541"/>
      <c r="L37" s="566"/>
      <c r="M37" s="567"/>
    </row>
    <row r="38" spans="1:15" s="38" customFormat="1" ht="15" customHeight="1" x14ac:dyDescent="0.25">
      <c r="A38" s="637" t="s">
        <v>37</v>
      </c>
      <c r="B38" s="536">
        <v>166327.5</v>
      </c>
      <c r="C38" s="537"/>
      <c r="D38" s="536"/>
      <c r="E38" s="537"/>
      <c r="F38" s="536">
        <v>1345.5</v>
      </c>
      <c r="G38" s="537"/>
      <c r="H38" s="547">
        <f>+B38+D38+F38</f>
        <v>167673</v>
      </c>
      <c r="I38" s="548"/>
      <c r="J38" s="549"/>
      <c r="K38" s="541"/>
      <c r="L38" s="566"/>
      <c r="M38" s="567"/>
    </row>
    <row r="39" spans="1:15" s="38" customFormat="1" ht="15" customHeight="1" x14ac:dyDescent="0.25">
      <c r="A39" s="637"/>
      <c r="B39" s="550">
        <f>+B38/$H$38*100</f>
        <v>99.197545221949866</v>
      </c>
      <c r="C39" s="551" t="e">
        <f>+C38/C57*100</f>
        <v>#DIV/0!</v>
      </c>
      <c r="D39" s="550">
        <f t="shared" ref="D39" si="34">+D38/$H$38*100</f>
        <v>0</v>
      </c>
      <c r="E39" s="551">
        <f t="shared" ref="E39" si="35">+E38/E57*100</f>
        <v>0</v>
      </c>
      <c r="F39" s="550">
        <f t="shared" ref="F39" si="36">+F38/$H$38*100</f>
        <v>0.80245477805013332</v>
      </c>
      <c r="G39" s="551">
        <f t="shared" ref="G39" si="37">+G38/G57*100</f>
        <v>0</v>
      </c>
      <c r="H39" s="550">
        <f t="shared" ref="H39" si="38">+H38/$H$38*100</f>
        <v>100</v>
      </c>
      <c r="I39" s="551">
        <f t="shared" ref="I39" si="39">+I38/I57*100</f>
        <v>0</v>
      </c>
      <c r="J39" s="549">
        <f>+H38/$H$44*100</f>
        <v>38.272200937443287</v>
      </c>
      <c r="K39" s="541"/>
      <c r="L39" s="566"/>
      <c r="M39" s="567"/>
    </row>
    <row r="40" spans="1:15" s="38" customFormat="1" ht="15" customHeight="1" x14ac:dyDescent="0.25">
      <c r="A40" s="637" t="s">
        <v>42</v>
      </c>
      <c r="B40" s="536">
        <v>2992.5</v>
      </c>
      <c r="C40" s="537"/>
      <c r="D40" s="536"/>
      <c r="E40" s="537"/>
      <c r="F40" s="536">
        <v>19.5</v>
      </c>
      <c r="G40" s="537"/>
      <c r="H40" s="547">
        <f>+B40+D40+F40</f>
        <v>3012</v>
      </c>
      <c r="I40" s="548"/>
      <c r="J40" s="549"/>
      <c r="K40" s="541"/>
      <c r="L40" s="566"/>
      <c r="M40" s="567"/>
    </row>
    <row r="41" spans="1:15" s="38" customFormat="1" ht="15" customHeight="1" x14ac:dyDescent="0.25">
      <c r="A41" s="637"/>
      <c r="B41" s="554">
        <f>+B40/$H$30*100</f>
        <v>7.0512140812215032</v>
      </c>
      <c r="C41" s="555" t="e">
        <f>+C40/C42*100</f>
        <v>#DIV/0!</v>
      </c>
      <c r="D41" s="554">
        <f t="shared" ref="D41" si="40">+D40/$H$30*100</f>
        <v>0</v>
      </c>
      <c r="E41" s="555" t="e">
        <f t="shared" ref="E41" si="41">+E40/E42*100</f>
        <v>#DIV/0!</v>
      </c>
      <c r="F41" s="554">
        <f t="shared" ref="F41" si="42">+F40/$H$30*100</f>
        <v>4.5947760930265438E-2</v>
      </c>
      <c r="G41" s="555" t="e">
        <f t="shared" ref="G41" si="43">+G40/G42*100</f>
        <v>#DIV/0!</v>
      </c>
      <c r="H41" s="554">
        <f t="shared" ref="H41" si="44">+H40/$H$30*100</f>
        <v>7.0971618421517695</v>
      </c>
      <c r="I41" s="555" t="e">
        <f t="shared" ref="I41" si="45">+I40/I42*100</f>
        <v>#DIV/0!</v>
      </c>
      <c r="J41" s="549">
        <f>+H40/$H$44*100</f>
        <v>0.68750406579222179</v>
      </c>
      <c r="K41" s="541"/>
      <c r="L41" s="566"/>
      <c r="M41" s="567"/>
    </row>
    <row r="42" spans="1:15" s="38" customFormat="1" ht="15" customHeight="1" x14ac:dyDescent="0.25">
      <c r="A42" s="530" t="s">
        <v>173</v>
      </c>
      <c r="B42" s="536">
        <v>42298.5</v>
      </c>
      <c r="C42" s="537"/>
      <c r="D42" s="536"/>
      <c r="E42" s="537"/>
      <c r="F42" s="536">
        <v>312</v>
      </c>
      <c r="G42" s="537"/>
      <c r="H42" s="547">
        <f>+B42+D42+F42</f>
        <v>42610.5</v>
      </c>
      <c r="I42" s="548"/>
      <c r="J42" s="549"/>
      <c r="K42" s="541"/>
      <c r="L42" s="566"/>
      <c r="M42" s="567"/>
    </row>
    <row r="43" spans="1:15" s="38" customFormat="1" ht="15" customHeight="1" x14ac:dyDescent="0.25">
      <c r="A43" s="530"/>
      <c r="B43" s="550">
        <f>+B42/$H$42*100</f>
        <v>99.267786109057639</v>
      </c>
      <c r="C43" s="551" t="e">
        <f>+C42/#REF!*100</f>
        <v>#REF!</v>
      </c>
      <c r="D43" s="550">
        <f t="shared" ref="D43" si="46">+D42/$H$42*100</f>
        <v>0</v>
      </c>
      <c r="E43" s="551" t="e">
        <f>+E42/#REF!*100</f>
        <v>#REF!</v>
      </c>
      <c r="F43" s="550">
        <f t="shared" ref="F43" si="47">+F42/$H$42*100</f>
        <v>0.73221389094237344</v>
      </c>
      <c r="G43" s="551" t="e">
        <f>+G42/#REF!*100</f>
        <v>#REF!</v>
      </c>
      <c r="H43" s="550">
        <f t="shared" ref="H43" si="48">+H42/$H$42*100</f>
        <v>100</v>
      </c>
      <c r="I43" s="551" t="e">
        <f>+I42/#REF!*100</f>
        <v>#REF!</v>
      </c>
      <c r="J43" s="549">
        <f>+H42/$H$44*100</f>
        <v>9.7260597594420535</v>
      </c>
      <c r="K43" s="541"/>
      <c r="L43" s="566"/>
      <c r="M43" s="567"/>
    </row>
    <row r="44" spans="1:15" s="38" customFormat="1" ht="15" customHeight="1" x14ac:dyDescent="0.25">
      <c r="A44" s="524" t="s">
        <v>43</v>
      </c>
      <c r="B44" s="685">
        <f>+B22+B24+B26+B28+B30+B32+B34+B36+B38+B40+B42</f>
        <v>434299.5</v>
      </c>
      <c r="C44" s="686" t="e">
        <f>+#REF!+#REF!+#REF!+#REF!+#REF!+C32+C22</f>
        <v>#REF!</v>
      </c>
      <c r="D44" s="556">
        <f t="shared" ref="D44" si="49">+D22+D24+D26+D28+D30+D32+D34+D36+D38+D40+D42</f>
        <v>0</v>
      </c>
      <c r="E44" s="529" t="e">
        <f>+#REF!+#REF!+#REF!+#REF!+#REF!+E32+E22</f>
        <v>#REF!</v>
      </c>
      <c r="F44" s="685">
        <f>+F22+F24+F26+F28+F30+F32+F34+F36+F38+F40+F42</f>
        <v>3807</v>
      </c>
      <c r="G44" s="686" t="e">
        <f>+#REF!+#REF!+#REF!+#REF!+#REF!+G32+G22</f>
        <v>#REF!</v>
      </c>
      <c r="H44" s="685">
        <f>+H22+H24+H26+H28+H30+H32+H34+H36+H38+H40+H42</f>
        <v>438106.5</v>
      </c>
      <c r="I44" s="686" t="e">
        <f>+#REF!+#REF!+#REF!+#REF!+#REF!+I32+I22</f>
        <v>#REF!</v>
      </c>
      <c r="J44" s="549"/>
      <c r="K44" s="541"/>
      <c r="L44" s="566"/>
      <c r="M44" s="567"/>
      <c r="N44" s="168"/>
    </row>
    <row r="45" spans="1:15" s="38" customFormat="1" ht="15" customHeight="1" x14ac:dyDescent="0.25">
      <c r="A45" s="524"/>
      <c r="B45" s="550">
        <f>+B44/$H$44*100</f>
        <v>99.131033207678954</v>
      </c>
      <c r="C45" s="551" t="e">
        <f>+C23+C33+#REF!+#REF!+#REF!+#REF!</f>
        <v>#REF!</v>
      </c>
      <c r="D45" s="550">
        <f t="shared" ref="D45" si="50">+D44/$H$44*100</f>
        <v>0</v>
      </c>
      <c r="E45" s="551" t="e">
        <f>+E23+E33+#REF!+#REF!+#REF!+#REF!</f>
        <v>#REF!</v>
      </c>
      <c r="F45" s="550">
        <f t="shared" ref="F45" si="51">+F44/$H$44*100</f>
        <v>0.86896679232104523</v>
      </c>
      <c r="G45" s="551" t="e">
        <f>+G23+G33+#REF!+#REF!+#REF!+#REF!</f>
        <v>#REF!</v>
      </c>
      <c r="H45" s="550">
        <f t="shared" ref="H45" si="52">+H44/$H$44*100</f>
        <v>100</v>
      </c>
      <c r="I45" s="551" t="e">
        <f>+I23+I33+#REF!+#REF!+#REF!+#REF!</f>
        <v>#REF!</v>
      </c>
      <c r="J45" s="549">
        <f>+H44/$H$44*100</f>
        <v>100</v>
      </c>
      <c r="K45" s="541"/>
      <c r="L45" s="568"/>
      <c r="M45" s="569"/>
      <c r="O45" s="168">
        <f>+H44+H51</f>
        <v>438355.5</v>
      </c>
    </row>
    <row r="46" spans="1:15" ht="15.75" customHeight="1" x14ac:dyDescent="0.25">
      <c r="A46" s="2" t="s">
        <v>392</v>
      </c>
      <c r="B46" s="7"/>
      <c r="C46" s="7"/>
      <c r="D46" s="7"/>
      <c r="E46" s="7"/>
      <c r="F46" s="7"/>
      <c r="G46" s="7"/>
      <c r="J46" s="7"/>
      <c r="K46" s="7"/>
      <c r="L46" s="7"/>
      <c r="M46" s="7"/>
    </row>
    <row r="47" spans="1:15" s="38" customFormat="1" ht="15" customHeight="1" x14ac:dyDescent="0.25">
      <c r="A47" s="524" t="s">
        <v>32</v>
      </c>
      <c r="B47" s="542" t="s">
        <v>33</v>
      </c>
      <c r="C47" s="542"/>
      <c r="D47" s="542"/>
      <c r="E47" s="542"/>
      <c r="F47" s="542"/>
      <c r="G47" s="542"/>
      <c r="H47" s="542"/>
      <c r="I47" s="542"/>
      <c r="J47" s="543" t="s">
        <v>34</v>
      </c>
      <c r="K47" s="544"/>
      <c r="L47" s="524" t="s">
        <v>35</v>
      </c>
      <c r="M47" s="524"/>
      <c r="O47" s="38" t="s">
        <v>150</v>
      </c>
    </row>
    <row r="48" spans="1:15" s="38" customFormat="1" ht="15" customHeight="1" x14ac:dyDescent="0.25">
      <c r="A48" s="524"/>
      <c r="B48" s="528" t="s">
        <v>18</v>
      </c>
      <c r="C48" s="529"/>
      <c r="D48" s="528" t="s">
        <v>19</v>
      </c>
      <c r="E48" s="529"/>
      <c r="F48" s="528" t="s">
        <v>20</v>
      </c>
      <c r="G48" s="529"/>
      <c r="H48" s="528" t="s">
        <v>36</v>
      </c>
      <c r="I48" s="529"/>
      <c r="J48" s="545"/>
      <c r="K48" s="546"/>
      <c r="L48" s="524"/>
      <c r="M48" s="524"/>
    </row>
    <row r="49" spans="1:19" s="38" customFormat="1" ht="15" customHeight="1" x14ac:dyDescent="0.25">
      <c r="A49" s="637" t="s">
        <v>380</v>
      </c>
      <c r="B49" s="536"/>
      <c r="C49" s="537"/>
      <c r="D49" s="536"/>
      <c r="E49" s="537"/>
      <c r="F49" s="536">
        <v>249</v>
      </c>
      <c r="G49" s="537"/>
      <c r="H49" s="538">
        <f>+B49+D49+F49</f>
        <v>249</v>
      </c>
      <c r="I49" s="539"/>
      <c r="J49" s="540"/>
      <c r="K49" s="541"/>
      <c r="L49" s="684"/>
      <c r="M49" s="684"/>
    </row>
    <row r="50" spans="1:19" s="38" customFormat="1" ht="15" customHeight="1" x14ac:dyDescent="0.25">
      <c r="A50" s="637"/>
      <c r="B50" s="550">
        <f>+B49/$H$22*100</f>
        <v>0</v>
      </c>
      <c r="C50" s="551" t="e">
        <f>+C49/C73*100</f>
        <v>#DIV/0!</v>
      </c>
      <c r="D50" s="550">
        <f t="shared" ref="D50" si="53">+D49/$H$22*100</f>
        <v>0</v>
      </c>
      <c r="E50" s="551">
        <f>+E49/E73*100</f>
        <v>0</v>
      </c>
      <c r="F50" s="550">
        <f>+F49/$H$49*100</f>
        <v>100</v>
      </c>
      <c r="G50" s="551" t="e">
        <f>+G49/G73*100</f>
        <v>#DIV/0!</v>
      </c>
      <c r="H50" s="550">
        <f>+H49/$H$49*100</f>
        <v>100</v>
      </c>
      <c r="I50" s="551">
        <f>+I49/I73*100</f>
        <v>0</v>
      </c>
      <c r="J50" s="549">
        <f>+H49/$H$49*100</f>
        <v>100</v>
      </c>
      <c r="K50" s="541"/>
      <c r="L50" s="684"/>
      <c r="M50" s="684"/>
    </row>
    <row r="51" spans="1:19" s="38" customFormat="1" ht="15" customHeight="1" x14ac:dyDescent="0.25">
      <c r="A51" s="524" t="s">
        <v>43</v>
      </c>
      <c r="B51" s="685">
        <f>+B49</f>
        <v>0</v>
      </c>
      <c r="C51" s="686" t="e">
        <f>+#REF!+#REF!+#REF!+#REF!+#REF!+C39+C29</f>
        <v>#REF!</v>
      </c>
      <c r="D51" s="556">
        <f t="shared" ref="D51" si="54">+D29+D31+D33+D35+D37+D39+D41+D43+D45+D47+D49</f>
        <v>0</v>
      </c>
      <c r="E51" s="529" t="e">
        <f>+#REF!+#REF!+#REF!+#REF!+#REF!+E39+E29</f>
        <v>#REF!</v>
      </c>
      <c r="F51" s="685">
        <f>+F49</f>
        <v>249</v>
      </c>
      <c r="G51" s="686" t="e">
        <f>+#REF!+#REF!+#REF!+#REF!+#REF!+G39+G29</f>
        <v>#REF!</v>
      </c>
      <c r="H51" s="685">
        <f>+H49</f>
        <v>249</v>
      </c>
      <c r="I51" s="686" t="e">
        <f>+#REF!+#REF!+#REF!+#REF!+#REF!+I39+I29</f>
        <v>#REF!</v>
      </c>
      <c r="J51" s="549"/>
      <c r="K51" s="541"/>
      <c r="L51" s="684"/>
      <c r="M51" s="684"/>
      <c r="N51" s="168"/>
    </row>
    <row r="52" spans="1:19" s="38" customFormat="1" ht="15" customHeight="1" x14ac:dyDescent="0.25">
      <c r="A52" s="524"/>
      <c r="B52" s="550">
        <f>+B51/$H$44*100</f>
        <v>0</v>
      </c>
      <c r="C52" s="551" t="e">
        <f>+C30+C40+#REF!+#REF!+#REF!+#REF!</f>
        <v>#REF!</v>
      </c>
      <c r="D52" s="550">
        <f t="shared" ref="D52" si="55">+D51/$H$44*100</f>
        <v>0</v>
      </c>
      <c r="E52" s="551" t="e">
        <f>+E30+E40+#REF!+#REF!+#REF!+#REF!</f>
        <v>#REF!</v>
      </c>
      <c r="F52" s="550">
        <f>+F51/$H$51*100</f>
        <v>100</v>
      </c>
      <c r="G52" s="551" t="e">
        <f>+G30+G40+#REF!+#REF!+#REF!+#REF!</f>
        <v>#REF!</v>
      </c>
      <c r="H52" s="550">
        <f>+H51/$H$51*100</f>
        <v>100</v>
      </c>
      <c r="I52" s="551" t="e">
        <f>+I30+I40+#REF!+#REF!+#REF!+#REF!</f>
        <v>#REF!</v>
      </c>
      <c r="J52" s="549">
        <f>+H51/$H$51*100</f>
        <v>100</v>
      </c>
      <c r="K52" s="541"/>
      <c r="L52" s="684"/>
      <c r="M52" s="684"/>
    </row>
    <row r="53" spans="1:19" ht="17.25" customHeight="1" x14ac:dyDescent="0.25">
      <c r="A53" s="1" t="s">
        <v>375</v>
      </c>
      <c r="B53" s="7"/>
      <c r="C53" s="7"/>
      <c r="D53" s="7"/>
      <c r="E53" s="7"/>
      <c r="F53" s="7"/>
      <c r="G53" s="7"/>
      <c r="J53" s="7"/>
      <c r="K53" s="7"/>
      <c r="L53" s="7"/>
      <c r="M53" s="7"/>
    </row>
    <row r="54" spans="1:19" ht="16.5" customHeight="1" x14ac:dyDescent="0.25">
      <c r="A54" s="1" t="s">
        <v>45</v>
      </c>
      <c r="B54" s="7"/>
      <c r="C54" s="7"/>
      <c r="D54" s="7"/>
      <c r="E54" s="7"/>
      <c r="F54" s="7"/>
      <c r="G54" s="7"/>
      <c r="J54" s="7"/>
      <c r="K54" s="7"/>
      <c r="L54" s="7"/>
      <c r="M54" s="7"/>
    </row>
    <row r="55" spans="1:19" ht="17.25" customHeight="1" x14ac:dyDescent="0.25">
      <c r="A55" s="2" t="s">
        <v>73</v>
      </c>
      <c r="B55" s="7"/>
      <c r="C55" s="7"/>
      <c r="D55" s="7"/>
      <c r="E55" s="7"/>
      <c r="F55" s="7"/>
      <c r="G55" s="7"/>
      <c r="J55" s="7"/>
      <c r="K55" s="7"/>
      <c r="L55" s="7"/>
      <c r="M55" s="7"/>
      <c r="N55" s="157" t="s">
        <v>150</v>
      </c>
    </row>
    <row r="56" spans="1:19" ht="20.25" customHeight="1" x14ac:dyDescent="0.25">
      <c r="A56" s="336" t="s">
        <v>47</v>
      </c>
      <c r="B56" s="524" t="s">
        <v>48</v>
      </c>
      <c r="C56" s="524"/>
      <c r="D56" s="336" t="s">
        <v>17</v>
      </c>
      <c r="E56" s="336" t="s">
        <v>49</v>
      </c>
      <c r="F56" s="336" t="s">
        <v>50</v>
      </c>
      <c r="G56" s="528" t="s">
        <v>51</v>
      </c>
      <c r="H56" s="529"/>
      <c r="I56" s="354" t="s">
        <v>52</v>
      </c>
      <c r="J56" s="354" t="s">
        <v>53</v>
      </c>
      <c r="K56" s="528" t="s">
        <v>35</v>
      </c>
      <c r="L56" s="557"/>
      <c r="M56" s="529"/>
      <c r="N56" s="47" t="s">
        <v>54</v>
      </c>
      <c r="O56" s="48">
        <f>+H44+O58</f>
        <v>438355.5</v>
      </c>
      <c r="P56" s="47" t="s">
        <v>13</v>
      </c>
      <c r="Q56" s="47"/>
    </row>
    <row r="57" spans="1:19" ht="27" customHeight="1" x14ac:dyDescent="0.25">
      <c r="A57" s="11">
        <v>1</v>
      </c>
      <c r="B57" s="585" t="s">
        <v>74</v>
      </c>
      <c r="C57" s="585"/>
      <c r="D57" s="345" t="s">
        <v>56</v>
      </c>
      <c r="E57" s="32">
        <v>21.26</v>
      </c>
      <c r="F57" s="317">
        <f>+G57/$O$56</f>
        <v>20.737885118357134</v>
      </c>
      <c r="G57" s="578">
        <f>+[6]T7.2026!$I$84</f>
        <v>9090566</v>
      </c>
      <c r="H57" s="579"/>
      <c r="I57" s="351">
        <f>+(E57-F57)*$O$56</f>
        <v>228871.92999999993</v>
      </c>
      <c r="J57" s="352"/>
      <c r="K57" s="561" t="s">
        <v>381</v>
      </c>
      <c r="L57" s="562"/>
      <c r="M57" s="563"/>
      <c r="N57" s="54" t="s">
        <v>76</v>
      </c>
      <c r="O57" s="55">
        <f>+H44</f>
        <v>438106.5</v>
      </c>
      <c r="P57" s="55"/>
      <c r="Q57" s="55">
        <f>+[3]T4!$J$35</f>
        <v>729</v>
      </c>
      <c r="R57" s="46"/>
    </row>
    <row r="58" spans="1:19" ht="15" customHeight="1" x14ac:dyDescent="0.25">
      <c r="A58" s="11">
        <v>2</v>
      </c>
      <c r="B58" s="572" t="s">
        <v>77</v>
      </c>
      <c r="C58" s="572"/>
      <c r="D58" s="345" t="s">
        <v>56</v>
      </c>
      <c r="E58" s="63">
        <v>0.28000000000000003</v>
      </c>
      <c r="F58" s="57">
        <f>+G58/$O$57</f>
        <v>0.26522177644020345</v>
      </c>
      <c r="G58" s="578">
        <f>+[6]T7.2026!$I$110</f>
        <v>116195.38419999999</v>
      </c>
      <c r="H58" s="579"/>
      <c r="I58" s="356">
        <f>+(E58-F58)*$O$57</f>
        <v>6474.4358000000193</v>
      </c>
      <c r="J58" s="352"/>
      <c r="K58" s="561"/>
      <c r="L58" s="562"/>
      <c r="M58" s="563"/>
      <c r="N58" s="54" t="s">
        <v>393</v>
      </c>
      <c r="O58" s="55">
        <v>249</v>
      </c>
      <c r="P58" s="55"/>
      <c r="Q58" s="55"/>
      <c r="R58" s="46"/>
    </row>
    <row r="59" spans="1:19" ht="15" customHeight="1" x14ac:dyDescent="0.25">
      <c r="A59" s="11">
        <v>3</v>
      </c>
      <c r="B59" s="638" t="s">
        <v>79</v>
      </c>
      <c r="C59" s="639"/>
      <c r="D59" s="345" t="s">
        <v>56</v>
      </c>
      <c r="E59" s="63">
        <v>0.39</v>
      </c>
      <c r="F59" s="57">
        <f>+G59/$O$58</f>
        <v>0.27998313253012047</v>
      </c>
      <c r="G59" s="559">
        <f>+[6]T7.2026!$I$213</f>
        <v>69.715800000000002</v>
      </c>
      <c r="H59" s="560"/>
      <c r="I59" s="356">
        <f>+(E59-F59)*$O$58</f>
        <v>27.394200000000005</v>
      </c>
      <c r="J59" s="352"/>
      <c r="K59" s="58"/>
      <c r="L59" s="58"/>
      <c r="M59" s="61"/>
      <c r="N59" s="71"/>
      <c r="O59" s="71"/>
      <c r="P59" s="71"/>
      <c r="R59" s="46"/>
      <c r="S59" s="6">
        <f>+I59/G59*100</f>
        <v>39.294105496888804</v>
      </c>
    </row>
    <row r="60" spans="1:19" ht="15" customHeight="1" x14ac:dyDescent="0.25">
      <c r="A60" s="11">
        <v>4</v>
      </c>
      <c r="B60" s="572" t="s">
        <v>80</v>
      </c>
      <c r="C60" s="572"/>
      <c r="D60" s="345" t="s">
        <v>56</v>
      </c>
      <c r="E60" s="63">
        <v>9.8000000000000004E-2</v>
      </c>
      <c r="F60" s="57">
        <f>+G60/$O$56</f>
        <v>8.9444298064014258E-2</v>
      </c>
      <c r="G60" s="578">
        <f>+[6]T7.2026!$I$225</f>
        <v>39208.400000000001</v>
      </c>
      <c r="H60" s="579"/>
      <c r="I60" s="351">
        <f t="shared" ref="I60:I72" si="56">+(E60-F60)*$O$56</f>
        <v>3750.4389999999999</v>
      </c>
      <c r="J60" s="364"/>
      <c r="K60" s="561"/>
      <c r="L60" s="562"/>
      <c r="M60" s="563"/>
      <c r="N60" s="72"/>
      <c r="O60" s="71"/>
      <c r="P60" s="73"/>
      <c r="R60" s="46"/>
      <c r="S60" s="6"/>
    </row>
    <row r="61" spans="1:19" s="76" customFormat="1" ht="15" customHeight="1" x14ac:dyDescent="0.25">
      <c r="A61" s="11">
        <v>5</v>
      </c>
      <c r="B61" s="638" t="s">
        <v>382</v>
      </c>
      <c r="C61" s="639"/>
      <c r="D61" s="345" t="s">
        <v>56</v>
      </c>
      <c r="E61" s="63">
        <v>0.39</v>
      </c>
      <c r="F61" s="360">
        <f>+G61/$O$58</f>
        <v>0.40160642570281119</v>
      </c>
      <c r="G61" s="559">
        <f>+[6]T7.2026!$I$237</f>
        <v>99.999999999999986</v>
      </c>
      <c r="H61" s="560"/>
      <c r="I61" s="351"/>
      <c r="J61" s="364">
        <f>+(F61-E61)*$O$58</f>
        <v>2.8899999999999824</v>
      </c>
      <c r="K61" s="58"/>
      <c r="L61" s="58"/>
      <c r="M61" s="74"/>
      <c r="N61" s="72"/>
      <c r="O61" s="75"/>
      <c r="P61" s="75"/>
      <c r="R61" s="77"/>
    </row>
    <row r="62" spans="1:19" s="76" customFormat="1" ht="15" customHeight="1" x14ac:dyDescent="0.25">
      <c r="A62" s="11">
        <v>6</v>
      </c>
      <c r="B62" s="572" t="s">
        <v>82</v>
      </c>
      <c r="C62" s="572"/>
      <c r="D62" s="345" t="s">
        <v>56</v>
      </c>
      <c r="E62" s="78">
        <v>0.11899999999999999</v>
      </c>
      <c r="F62" s="57">
        <f>+G62/$O$56</f>
        <v>0.11899246159794959</v>
      </c>
      <c r="G62" s="559">
        <f>+[6]T7.2026!$I$273</f>
        <v>52160.999999999993</v>
      </c>
      <c r="H62" s="560"/>
      <c r="I62" s="356">
        <f>+(E62-F62)*$O$56</f>
        <v>3.3045000000077263</v>
      </c>
      <c r="J62" s="352"/>
      <c r="K62" s="58"/>
      <c r="L62" s="58"/>
      <c r="M62" s="74"/>
      <c r="N62" s="75"/>
      <c r="O62" s="75"/>
      <c r="P62" s="75"/>
      <c r="R62" s="77"/>
    </row>
    <row r="63" spans="1:19" ht="15" customHeight="1" x14ac:dyDescent="0.25">
      <c r="A63" s="11">
        <v>7</v>
      </c>
      <c r="B63" s="638" t="s">
        <v>83</v>
      </c>
      <c r="C63" s="639"/>
      <c r="D63" s="345" t="s">
        <v>62</v>
      </c>
      <c r="E63" s="63">
        <v>0.66900000000000004</v>
      </c>
      <c r="F63" s="358">
        <f t="shared" ref="F63:F72" si="57">+G63/$O$56</f>
        <v>0.66868785723003366</v>
      </c>
      <c r="G63" s="574">
        <f>+[6]T7.2026!$R$327</f>
        <v>293123</v>
      </c>
      <c r="H63" s="575"/>
      <c r="I63" s="351">
        <f t="shared" si="56"/>
        <v>136.82949999999911</v>
      </c>
      <c r="J63" s="352"/>
      <c r="K63" s="58"/>
      <c r="L63" s="58"/>
      <c r="M63" s="59"/>
      <c r="N63" s="71"/>
      <c r="O63" s="6"/>
      <c r="R63" s="46"/>
    </row>
    <row r="64" spans="1:19" ht="15" customHeight="1" x14ac:dyDescent="0.25">
      <c r="A64" s="11">
        <v>8</v>
      </c>
      <c r="B64" s="638" t="s">
        <v>84</v>
      </c>
      <c r="C64" s="639"/>
      <c r="D64" s="345" t="s">
        <v>56</v>
      </c>
      <c r="E64" s="63">
        <v>0.02</v>
      </c>
      <c r="F64" s="358">
        <f t="shared" si="57"/>
        <v>1.9367841854385309E-2</v>
      </c>
      <c r="G64" s="559">
        <f>+[7]T7.2026!$I$291</f>
        <v>8490</v>
      </c>
      <c r="H64" s="560"/>
      <c r="I64" s="351">
        <f t="shared" si="56"/>
        <v>277.11000000000075</v>
      </c>
      <c r="J64" s="352"/>
      <c r="K64" s="58"/>
      <c r="L64" s="58"/>
      <c r="M64" s="59"/>
      <c r="O64" s="45"/>
      <c r="P64" s="79"/>
      <c r="R64" s="46"/>
    </row>
    <row r="65" spans="1:18" ht="15" customHeight="1" x14ac:dyDescent="0.25">
      <c r="A65" s="11">
        <v>9</v>
      </c>
      <c r="B65" s="638" t="s">
        <v>64</v>
      </c>
      <c r="C65" s="639"/>
      <c r="D65" s="345" t="s">
        <v>56</v>
      </c>
      <c r="E65" s="158">
        <v>2.01E-2</v>
      </c>
      <c r="F65" s="358">
        <f t="shared" si="57"/>
        <v>1.1887611767161585E-2</v>
      </c>
      <c r="G65" s="559">
        <f>+[7]T7.2026!$I$298</f>
        <v>5211</v>
      </c>
      <c r="H65" s="560"/>
      <c r="I65" s="351">
        <f t="shared" si="56"/>
        <v>3599.9455499999995</v>
      </c>
      <c r="J65" s="352"/>
      <c r="K65" s="58"/>
      <c r="L65" s="58"/>
      <c r="M65" s="59"/>
      <c r="N65" s="64"/>
      <c r="O65" s="45"/>
      <c r="R65" s="46"/>
    </row>
    <row r="66" spans="1:18" ht="15" customHeight="1" x14ac:dyDescent="0.25">
      <c r="A66" s="11">
        <v>10</v>
      </c>
      <c r="B66" s="638" t="s">
        <v>65</v>
      </c>
      <c r="C66" s="639"/>
      <c r="D66" s="345" t="s">
        <v>56</v>
      </c>
      <c r="E66" s="32">
        <v>1.84</v>
      </c>
      <c r="F66" s="359">
        <f t="shared" si="57"/>
        <v>1.670644032069861</v>
      </c>
      <c r="G66" s="574">
        <f>+[7]T7.2026!$I$287</f>
        <v>732336</v>
      </c>
      <c r="H66" s="575"/>
      <c r="I66" s="351">
        <f t="shared" si="56"/>
        <v>74238.120000000083</v>
      </c>
      <c r="J66" s="352"/>
      <c r="K66" s="589"/>
      <c r="L66" s="590"/>
      <c r="M66" s="591"/>
      <c r="N66" s="81"/>
      <c r="O66" s="6"/>
      <c r="R66" s="46"/>
    </row>
    <row r="67" spans="1:18" ht="15" customHeight="1" x14ac:dyDescent="0.25">
      <c r="A67" s="11">
        <v>11</v>
      </c>
      <c r="B67" s="638" t="s">
        <v>67</v>
      </c>
      <c r="C67" s="639"/>
      <c r="D67" s="345" t="s">
        <v>56</v>
      </c>
      <c r="E67" s="158">
        <v>7.6E-3</v>
      </c>
      <c r="F67" s="357">
        <f t="shared" si="57"/>
        <v>7.5737614789822419E-3</v>
      </c>
      <c r="G67" s="559">
        <f>+[7]T7.2026!$I$299</f>
        <v>3320</v>
      </c>
      <c r="H67" s="560"/>
      <c r="I67" s="351">
        <f t="shared" si="56"/>
        <v>11.501799999999843</v>
      </c>
      <c r="J67" s="352"/>
      <c r="K67" s="58"/>
      <c r="L67" s="58"/>
      <c r="M67" s="59"/>
      <c r="N67" s="64"/>
      <c r="O67" s="318">
        <f>438355.5/G69</f>
        <v>91.706171548117155</v>
      </c>
      <c r="R67" s="46"/>
    </row>
    <row r="68" spans="1:18" ht="15" customHeight="1" x14ac:dyDescent="0.25">
      <c r="A68" s="11">
        <v>12</v>
      </c>
      <c r="B68" s="638" t="s">
        <v>68</v>
      </c>
      <c r="C68" s="639"/>
      <c r="D68" s="345" t="s">
        <v>62</v>
      </c>
      <c r="E68" s="63">
        <v>4.2999999999999997E-2</v>
      </c>
      <c r="F68" s="358">
        <f t="shared" si="57"/>
        <v>4.1746938272703323E-2</v>
      </c>
      <c r="G68" s="559">
        <f>+[7]T7.2026!$I$296</f>
        <v>18300</v>
      </c>
      <c r="H68" s="560"/>
      <c r="I68" s="351">
        <f t="shared" si="56"/>
        <v>549.2864999999972</v>
      </c>
      <c r="J68" s="352"/>
      <c r="K68" s="586"/>
      <c r="L68" s="587"/>
      <c r="M68" s="59"/>
      <c r="N68" s="64"/>
      <c r="O68" s="45"/>
      <c r="R68" s="46"/>
    </row>
    <row r="69" spans="1:18" ht="15" customHeight="1" x14ac:dyDescent="0.25">
      <c r="A69" s="11">
        <v>13</v>
      </c>
      <c r="B69" s="638" t="s">
        <v>69</v>
      </c>
      <c r="C69" s="639"/>
      <c r="D69" s="345" t="s">
        <v>62</v>
      </c>
      <c r="E69" s="158">
        <v>1.0699999999999999E-2</v>
      </c>
      <c r="F69" s="357">
        <f t="shared" si="57"/>
        <v>1.0904391526968408E-2</v>
      </c>
      <c r="G69" s="559">
        <f>+[7]T7.2026!$R$302</f>
        <v>4780</v>
      </c>
      <c r="H69" s="560"/>
      <c r="I69" s="351"/>
      <c r="J69" s="352">
        <f t="shared" ref="J69:J72" si="58">+(F69-E69)*$O$56</f>
        <v>89.596150000000009</v>
      </c>
      <c r="K69" s="586" t="s">
        <v>383</v>
      </c>
      <c r="L69" s="587"/>
      <c r="M69" s="59"/>
      <c r="N69" s="64"/>
      <c r="O69" s="45"/>
      <c r="R69" s="46"/>
    </row>
    <row r="70" spans="1:18" ht="15" customHeight="1" x14ac:dyDescent="0.25">
      <c r="A70" s="11">
        <v>14</v>
      </c>
      <c r="B70" s="638" t="s">
        <v>71</v>
      </c>
      <c r="C70" s="639"/>
      <c r="D70" s="345" t="s">
        <v>62</v>
      </c>
      <c r="E70" s="63">
        <v>0.06</v>
      </c>
      <c r="F70" s="358">
        <f t="shared" si="57"/>
        <v>4.7278977907200891E-2</v>
      </c>
      <c r="G70" s="574">
        <f>+[7]T7.2026!$I$263</f>
        <v>20725</v>
      </c>
      <c r="H70" s="575"/>
      <c r="I70" s="351">
        <f t="shared" si="56"/>
        <v>5576.329999999999</v>
      </c>
      <c r="J70" s="352"/>
      <c r="K70" s="588"/>
      <c r="L70" s="576"/>
      <c r="M70" s="577"/>
      <c r="O70" s="45"/>
      <c r="R70" s="46"/>
    </row>
    <row r="71" spans="1:18" ht="22.5" hidden="1" customHeight="1" x14ac:dyDescent="0.25">
      <c r="A71" s="11">
        <v>15</v>
      </c>
      <c r="B71" s="638" t="s">
        <v>87</v>
      </c>
      <c r="C71" s="639"/>
      <c r="D71" s="345" t="s">
        <v>56</v>
      </c>
      <c r="E71" s="158">
        <v>2.0999999999999999E-3</v>
      </c>
      <c r="F71" s="70">
        <f t="shared" si="57"/>
        <v>0</v>
      </c>
      <c r="G71" s="574"/>
      <c r="H71" s="575"/>
      <c r="I71" s="351">
        <f t="shared" si="56"/>
        <v>920.54654999999991</v>
      </c>
      <c r="J71" s="352">
        <f t="shared" si="58"/>
        <v>-920.54654999999991</v>
      </c>
      <c r="K71" s="67"/>
      <c r="L71" s="67"/>
      <c r="M71" s="68"/>
      <c r="O71" s="45"/>
      <c r="R71" s="46"/>
    </row>
    <row r="72" spans="1:18" ht="18.75" hidden="1" customHeight="1" x14ac:dyDescent="0.25">
      <c r="A72" s="11">
        <v>14</v>
      </c>
      <c r="B72" s="638" t="s">
        <v>88</v>
      </c>
      <c r="C72" s="639"/>
      <c r="D72" s="345" t="s">
        <v>56</v>
      </c>
      <c r="E72" s="158">
        <v>1.2999999999999999E-3</v>
      </c>
      <c r="F72" s="70">
        <f t="shared" si="57"/>
        <v>0</v>
      </c>
      <c r="G72" s="574"/>
      <c r="H72" s="575"/>
      <c r="I72" s="351">
        <f t="shared" si="56"/>
        <v>569.86214999999993</v>
      </c>
      <c r="J72" s="352">
        <f t="shared" si="58"/>
        <v>-569.86214999999993</v>
      </c>
      <c r="K72" s="67"/>
      <c r="L72" s="67"/>
      <c r="M72" s="68"/>
      <c r="O72" s="45"/>
      <c r="R72" s="46"/>
    </row>
    <row r="73" spans="1:18" ht="22.5" hidden="1" customHeight="1" x14ac:dyDescent="0.25">
      <c r="A73" s="11">
        <v>13</v>
      </c>
      <c r="B73" s="638" t="s">
        <v>72</v>
      </c>
      <c r="C73" s="639"/>
      <c r="D73" s="345" t="s">
        <v>56</v>
      </c>
      <c r="E73" s="158">
        <v>2.0999999999999999E-3</v>
      </c>
      <c r="F73" s="66">
        <f>+G73/$O$56</f>
        <v>0</v>
      </c>
      <c r="G73" s="574"/>
      <c r="H73" s="575"/>
      <c r="I73" s="343">
        <f t="shared" ref="I73" si="59">+(E73-F73)*$O$56</f>
        <v>920.54654999999991</v>
      </c>
      <c r="J73" s="344">
        <f t="shared" ref="J73" si="60">+(F73-E73)*$O$58</f>
        <v>-0.52289999999999992</v>
      </c>
      <c r="K73" s="67"/>
      <c r="L73" s="67"/>
      <c r="M73" s="68"/>
      <c r="O73" s="45"/>
      <c r="R73" s="46"/>
    </row>
    <row r="74" spans="1:18" ht="18.75" customHeight="1" x14ac:dyDescent="0.25">
      <c r="A74" s="1" t="s">
        <v>90</v>
      </c>
      <c r="B74" s="7"/>
      <c r="C74" s="7"/>
      <c r="D74" s="7"/>
      <c r="E74" s="7"/>
      <c r="F74" s="7"/>
      <c r="G74" s="7"/>
      <c r="J74" s="7"/>
      <c r="K74" s="7"/>
      <c r="L74" s="7"/>
      <c r="M74" s="7"/>
    </row>
    <row r="75" spans="1:18" ht="18" customHeight="1" x14ac:dyDescent="0.25">
      <c r="A75" s="593" t="s">
        <v>91</v>
      </c>
      <c r="B75" s="594"/>
      <c r="C75" s="595"/>
      <c r="D75" s="337" t="s">
        <v>92</v>
      </c>
      <c r="E75" s="337" t="s">
        <v>93</v>
      </c>
      <c r="F75" s="337" t="s">
        <v>94</v>
      </c>
      <c r="G75" s="337" t="s">
        <v>95</v>
      </c>
      <c r="H75" s="527" t="s">
        <v>376</v>
      </c>
      <c r="I75" s="527"/>
      <c r="J75" s="337" t="s">
        <v>97</v>
      </c>
      <c r="K75" s="593" t="s">
        <v>35</v>
      </c>
      <c r="L75" s="594"/>
      <c r="M75" s="595"/>
      <c r="N75" s="160" t="s">
        <v>181</v>
      </c>
    </row>
    <row r="76" spans="1:18" ht="18" customHeight="1" x14ac:dyDescent="0.25">
      <c r="A76" s="342">
        <v>1</v>
      </c>
      <c r="B76" s="596" t="s">
        <v>187</v>
      </c>
      <c r="C76" s="596"/>
      <c r="D76" s="343">
        <v>3</v>
      </c>
      <c r="E76" s="343">
        <v>3</v>
      </c>
      <c r="F76" s="343"/>
      <c r="G76" s="92"/>
      <c r="H76" s="603"/>
      <c r="I76" s="603"/>
      <c r="J76" s="343">
        <f>+E76+F76-G76-H76</f>
        <v>3</v>
      </c>
      <c r="K76" s="593"/>
      <c r="L76" s="594"/>
      <c r="M76" s="595"/>
    </row>
    <row r="77" spans="1:18" ht="18" customHeight="1" x14ac:dyDescent="0.25">
      <c r="A77" s="342">
        <v>2</v>
      </c>
      <c r="B77" s="596" t="s">
        <v>99</v>
      </c>
      <c r="C77" s="596"/>
      <c r="D77" s="343">
        <v>5</v>
      </c>
      <c r="E77" s="343">
        <v>5</v>
      </c>
      <c r="F77" s="52"/>
      <c r="G77" s="93"/>
      <c r="H77" s="603"/>
      <c r="I77" s="603"/>
      <c r="J77" s="355">
        <f t="shared" ref="J77:J82" si="61">+E77+F77-G77-H77</f>
        <v>5</v>
      </c>
      <c r="K77" s="593"/>
      <c r="L77" s="594"/>
      <c r="M77" s="595"/>
    </row>
    <row r="78" spans="1:18" ht="18" customHeight="1" x14ac:dyDescent="0.25">
      <c r="A78" s="342">
        <v>3</v>
      </c>
      <c r="B78" s="596" t="s">
        <v>100</v>
      </c>
      <c r="C78" s="596"/>
      <c r="D78" s="343">
        <v>25</v>
      </c>
      <c r="E78" s="343">
        <v>25</v>
      </c>
      <c r="F78" s="343"/>
      <c r="G78" s="343">
        <v>0</v>
      </c>
      <c r="H78" s="603"/>
      <c r="I78" s="603"/>
      <c r="J78" s="355">
        <f t="shared" si="61"/>
        <v>25</v>
      </c>
      <c r="K78" s="593"/>
      <c r="L78" s="594"/>
      <c r="M78" s="595"/>
    </row>
    <row r="79" spans="1:18" ht="18" customHeight="1" x14ac:dyDescent="0.25">
      <c r="A79" s="342">
        <v>4</v>
      </c>
      <c r="B79" s="596" t="s">
        <v>101</v>
      </c>
      <c r="C79" s="596"/>
      <c r="D79" s="343">
        <v>30</v>
      </c>
      <c r="E79" s="343">
        <v>30</v>
      </c>
      <c r="F79" s="343"/>
      <c r="G79" s="92"/>
      <c r="H79" s="603"/>
      <c r="I79" s="603"/>
      <c r="J79" s="355">
        <f t="shared" si="61"/>
        <v>30</v>
      </c>
      <c r="K79" s="600"/>
      <c r="L79" s="601"/>
      <c r="M79" s="602"/>
    </row>
    <row r="80" spans="1:18" ht="18" customHeight="1" x14ac:dyDescent="0.25">
      <c r="A80" s="342">
        <v>5</v>
      </c>
      <c r="B80" s="596" t="s">
        <v>102</v>
      </c>
      <c r="C80" s="596"/>
      <c r="D80" s="343">
        <v>36</v>
      </c>
      <c r="E80" s="343">
        <v>36</v>
      </c>
      <c r="F80" s="343">
        <v>2</v>
      </c>
      <c r="G80" s="92">
        <v>3</v>
      </c>
      <c r="H80" s="597">
        <v>2</v>
      </c>
      <c r="I80" s="597"/>
      <c r="J80" s="355">
        <f t="shared" si="61"/>
        <v>33</v>
      </c>
      <c r="K80" s="593"/>
      <c r="L80" s="594"/>
      <c r="M80" s="595"/>
    </row>
    <row r="81" spans="1:14" ht="18" customHeight="1" x14ac:dyDescent="0.25">
      <c r="A81" s="342">
        <v>6</v>
      </c>
      <c r="B81" s="596" t="s">
        <v>103</v>
      </c>
      <c r="C81" s="596"/>
      <c r="D81" s="343">
        <v>6</v>
      </c>
      <c r="E81" s="343">
        <v>6</v>
      </c>
      <c r="F81" s="343"/>
      <c r="G81" s="343"/>
      <c r="H81" s="597"/>
      <c r="I81" s="597"/>
      <c r="J81" s="355">
        <f t="shared" si="61"/>
        <v>6</v>
      </c>
      <c r="K81" s="593"/>
      <c r="L81" s="594"/>
      <c r="M81" s="595"/>
    </row>
    <row r="82" spans="1:14" ht="18" customHeight="1" x14ac:dyDescent="0.25">
      <c r="A82" s="342">
        <v>7</v>
      </c>
      <c r="B82" s="596" t="s">
        <v>104</v>
      </c>
      <c r="C82" s="596"/>
      <c r="D82" s="343">
        <v>1</v>
      </c>
      <c r="E82" s="343">
        <v>1</v>
      </c>
      <c r="F82" s="343"/>
      <c r="G82" s="92"/>
      <c r="H82" s="597"/>
      <c r="I82" s="597"/>
      <c r="J82" s="355">
        <f t="shared" si="61"/>
        <v>1</v>
      </c>
      <c r="K82" s="593"/>
      <c r="L82" s="594"/>
      <c r="M82" s="595"/>
    </row>
    <row r="83" spans="1:14" ht="18" customHeight="1" x14ac:dyDescent="0.25">
      <c r="A83" s="593" t="s">
        <v>105</v>
      </c>
      <c r="B83" s="594"/>
      <c r="C83" s="595"/>
      <c r="D83" s="94">
        <f>SUM(D76:D82)</f>
        <v>106</v>
      </c>
      <c r="E83" s="94">
        <f>SUM(E76:E82)</f>
        <v>106</v>
      </c>
      <c r="F83" s="95">
        <f t="shared" ref="F83:H83" si="62">SUM(F76:F82)</f>
        <v>2</v>
      </c>
      <c r="G83" s="96">
        <f t="shared" si="62"/>
        <v>3</v>
      </c>
      <c r="H83" s="605">
        <f t="shared" si="62"/>
        <v>2</v>
      </c>
      <c r="I83" s="606"/>
      <c r="J83" s="94">
        <f>SUM(J76:J82)</f>
        <v>103</v>
      </c>
      <c r="K83" s="593"/>
      <c r="L83" s="594"/>
      <c r="M83" s="595"/>
    </row>
    <row r="84" spans="1:14" ht="17.25" customHeight="1" x14ac:dyDescent="0.25">
      <c r="A84" s="88" t="s">
        <v>377</v>
      </c>
      <c r="B84" s="333"/>
      <c r="C84" s="333"/>
      <c r="D84" s="98"/>
      <c r="E84" s="98"/>
      <c r="F84" s="99"/>
      <c r="G84" s="100"/>
      <c r="H84" s="101"/>
      <c r="I84" s="101"/>
      <c r="J84" s="98"/>
      <c r="K84" s="333"/>
      <c r="L84" s="333"/>
      <c r="M84" s="333"/>
    </row>
    <row r="85" spans="1:14" ht="30" customHeight="1" x14ac:dyDescent="0.25">
      <c r="A85" s="102"/>
      <c r="B85" s="341" t="s">
        <v>47</v>
      </c>
      <c r="C85" s="608" t="s">
        <v>107</v>
      </c>
      <c r="D85" s="608"/>
      <c r="E85" s="341" t="s">
        <v>108</v>
      </c>
      <c r="F85" s="341" t="s">
        <v>109</v>
      </c>
      <c r="G85" s="341" t="s">
        <v>110</v>
      </c>
      <c r="H85" s="608" t="s">
        <v>111</v>
      </c>
      <c r="I85" s="608"/>
      <c r="J85" s="608" t="s">
        <v>112</v>
      </c>
      <c r="K85" s="608"/>
      <c r="L85" s="608"/>
      <c r="M85" s="608"/>
      <c r="N85" s="161"/>
    </row>
    <row r="86" spans="1:14" ht="16.5" customHeight="1" x14ac:dyDescent="0.25">
      <c r="A86" s="609"/>
      <c r="B86" s="104">
        <v>1</v>
      </c>
      <c r="C86" s="610" t="s">
        <v>120</v>
      </c>
      <c r="D86" s="611"/>
      <c r="E86" s="67" t="s">
        <v>388</v>
      </c>
      <c r="F86" s="106" t="s">
        <v>389</v>
      </c>
      <c r="G86" s="162">
        <v>77</v>
      </c>
      <c r="H86" s="612" t="s">
        <v>282</v>
      </c>
      <c r="I86" s="613"/>
      <c r="J86" s="614"/>
      <c r="K86" s="614"/>
      <c r="L86" s="614"/>
      <c r="M86" s="614"/>
    </row>
    <row r="87" spans="1:14" ht="16.5" customHeight="1" x14ac:dyDescent="0.25">
      <c r="A87" s="609"/>
      <c r="B87" s="104">
        <v>2</v>
      </c>
      <c r="C87" s="610" t="s">
        <v>190</v>
      </c>
      <c r="D87" s="611"/>
      <c r="E87" s="108" t="s">
        <v>390</v>
      </c>
      <c r="F87" s="106" t="s">
        <v>391</v>
      </c>
      <c r="G87" s="162">
        <v>12.8</v>
      </c>
      <c r="H87" s="610" t="s">
        <v>283</v>
      </c>
      <c r="I87" s="611"/>
      <c r="J87" s="614"/>
      <c r="K87" s="614"/>
      <c r="L87" s="614"/>
      <c r="M87" s="614"/>
    </row>
    <row r="88" spans="1:14" ht="16.5" customHeight="1" x14ac:dyDescent="0.25">
      <c r="A88" s="609"/>
      <c r="B88" s="104">
        <v>3</v>
      </c>
      <c r="C88" s="610" t="s">
        <v>236</v>
      </c>
      <c r="D88" s="611"/>
      <c r="E88" s="108" t="s">
        <v>398</v>
      </c>
      <c r="F88" s="106" t="s">
        <v>399</v>
      </c>
      <c r="G88" s="162">
        <v>300.8</v>
      </c>
      <c r="H88" s="612" t="s">
        <v>400</v>
      </c>
      <c r="I88" s="613"/>
      <c r="J88" s="614"/>
      <c r="K88" s="614"/>
      <c r="L88" s="614"/>
      <c r="M88" s="614"/>
    </row>
    <row r="89" spans="1:14" ht="16.5" customHeight="1" x14ac:dyDescent="0.25">
      <c r="A89" s="609"/>
      <c r="B89" s="104">
        <v>4</v>
      </c>
      <c r="C89" s="617"/>
      <c r="D89" s="618"/>
      <c r="E89" s="108" t="s">
        <v>398</v>
      </c>
      <c r="F89" s="106">
        <v>46239</v>
      </c>
      <c r="G89" s="162">
        <v>85</v>
      </c>
      <c r="H89" s="612" t="s">
        <v>130</v>
      </c>
      <c r="I89" s="613"/>
      <c r="J89" s="614"/>
      <c r="K89" s="614"/>
      <c r="L89" s="614"/>
      <c r="M89" s="614"/>
      <c r="N89" s="163"/>
    </row>
    <row r="90" spans="1:14" ht="16.5" customHeight="1" x14ac:dyDescent="0.25">
      <c r="A90" s="609"/>
      <c r="B90" s="104">
        <v>5</v>
      </c>
      <c r="C90" s="612" t="s">
        <v>131</v>
      </c>
      <c r="D90" s="613"/>
      <c r="E90" s="108" t="s">
        <v>401</v>
      </c>
      <c r="F90" s="106" t="s">
        <v>122</v>
      </c>
      <c r="G90" s="162">
        <v>176</v>
      </c>
      <c r="H90" s="612" t="s">
        <v>402</v>
      </c>
      <c r="I90" s="613"/>
      <c r="J90" s="614"/>
      <c r="K90" s="614"/>
      <c r="L90" s="614"/>
      <c r="M90" s="614"/>
      <c r="N90" s="163"/>
    </row>
    <row r="91" spans="1:14" ht="16.5" customHeight="1" x14ac:dyDescent="0.25">
      <c r="A91" s="609"/>
      <c r="B91" s="104">
        <v>6</v>
      </c>
      <c r="C91" s="610" t="s">
        <v>173</v>
      </c>
      <c r="D91" s="611"/>
      <c r="E91" s="363" t="s">
        <v>403</v>
      </c>
      <c r="F91" s="106" t="s">
        <v>404</v>
      </c>
      <c r="G91" s="162">
        <v>122.56</v>
      </c>
      <c r="H91" s="610" t="s">
        <v>130</v>
      </c>
      <c r="I91" s="611"/>
      <c r="J91" s="614"/>
      <c r="K91" s="614"/>
      <c r="L91" s="614"/>
      <c r="M91" s="614"/>
      <c r="N91" s="163"/>
    </row>
    <row r="92" spans="1:14" ht="16.5" customHeight="1" x14ac:dyDescent="0.25">
      <c r="A92" s="609"/>
      <c r="B92" s="104">
        <v>7</v>
      </c>
      <c r="C92" s="617"/>
      <c r="D92" s="618"/>
      <c r="E92" s="363" t="s">
        <v>405</v>
      </c>
      <c r="F92" s="106" t="s">
        <v>404</v>
      </c>
      <c r="G92" s="162">
        <v>23.68</v>
      </c>
      <c r="H92" s="617"/>
      <c r="I92" s="618"/>
      <c r="J92" s="614"/>
      <c r="K92" s="614"/>
      <c r="L92" s="614"/>
      <c r="M92" s="614"/>
      <c r="N92" s="163"/>
    </row>
    <row r="93" spans="1:14" ht="16.5" customHeight="1" x14ac:dyDescent="0.25">
      <c r="A93" s="609"/>
      <c r="B93" s="104">
        <v>8</v>
      </c>
      <c r="C93" s="612" t="s">
        <v>406</v>
      </c>
      <c r="D93" s="613"/>
      <c r="E93" s="108" t="s">
        <v>193</v>
      </c>
      <c r="F93" s="106">
        <v>45942</v>
      </c>
      <c r="G93" s="162">
        <v>54.4</v>
      </c>
      <c r="H93" s="612" t="s">
        <v>130</v>
      </c>
      <c r="I93" s="613"/>
      <c r="J93" s="614"/>
      <c r="K93" s="614"/>
      <c r="L93" s="614"/>
      <c r="M93" s="614"/>
      <c r="N93" s="163"/>
    </row>
    <row r="94" spans="1:14" ht="16.5" customHeight="1" x14ac:dyDescent="0.25">
      <c r="A94" s="609"/>
      <c r="B94" s="104">
        <v>9</v>
      </c>
      <c r="C94" s="612" t="s">
        <v>407</v>
      </c>
      <c r="D94" s="613"/>
      <c r="E94" s="108" t="s">
        <v>408</v>
      </c>
      <c r="F94" s="106" t="s">
        <v>409</v>
      </c>
      <c r="G94" s="162">
        <v>12.8</v>
      </c>
      <c r="H94" s="612" t="s">
        <v>410</v>
      </c>
      <c r="I94" s="613"/>
      <c r="J94" s="614"/>
      <c r="K94" s="614"/>
      <c r="L94" s="614"/>
      <c r="M94" s="614"/>
      <c r="N94" s="163"/>
    </row>
    <row r="95" spans="1:14" ht="16.5" customHeight="1" x14ac:dyDescent="0.25">
      <c r="A95" s="609"/>
      <c r="B95" s="104">
        <v>10</v>
      </c>
      <c r="C95" s="610" t="s">
        <v>113</v>
      </c>
      <c r="D95" s="611"/>
      <c r="E95" s="108" t="s">
        <v>114</v>
      </c>
      <c r="F95" s="106" t="s">
        <v>411</v>
      </c>
      <c r="G95" s="162">
        <v>17.600000000000001</v>
      </c>
      <c r="H95" s="610" t="s">
        <v>413</v>
      </c>
      <c r="I95" s="611"/>
      <c r="J95" s="614"/>
      <c r="K95" s="614"/>
      <c r="L95" s="614"/>
      <c r="M95" s="614"/>
      <c r="N95" s="163"/>
    </row>
    <row r="96" spans="1:14" ht="16.5" customHeight="1" x14ac:dyDescent="0.25">
      <c r="A96" s="609"/>
      <c r="B96" s="104">
        <v>11</v>
      </c>
      <c r="C96" s="617"/>
      <c r="D96" s="618"/>
      <c r="E96" s="108" t="s">
        <v>412</v>
      </c>
      <c r="F96" s="106">
        <v>45700</v>
      </c>
      <c r="G96" s="162">
        <v>3.2</v>
      </c>
      <c r="H96" s="617"/>
      <c r="I96" s="618"/>
      <c r="J96" s="614"/>
      <c r="K96" s="614"/>
      <c r="L96" s="614"/>
      <c r="M96" s="614"/>
      <c r="N96" s="163"/>
    </row>
    <row r="97" spans="1:14" ht="16.5" customHeight="1" x14ac:dyDescent="0.25">
      <c r="A97" s="609"/>
      <c r="B97" s="104">
        <v>12</v>
      </c>
      <c r="C97" s="612" t="s">
        <v>229</v>
      </c>
      <c r="D97" s="613"/>
      <c r="E97" s="108" t="s">
        <v>230</v>
      </c>
      <c r="F97" s="106" t="s">
        <v>231</v>
      </c>
      <c r="G97" s="162">
        <v>250.2</v>
      </c>
      <c r="H97" s="612" t="s">
        <v>282</v>
      </c>
      <c r="I97" s="613"/>
      <c r="J97" s="614"/>
      <c r="K97" s="614"/>
      <c r="L97" s="614"/>
      <c r="M97" s="614"/>
      <c r="N97" s="163"/>
    </row>
    <row r="98" spans="1:14" ht="16.5" customHeight="1" x14ac:dyDescent="0.25">
      <c r="A98" s="609"/>
      <c r="B98" s="104">
        <v>13</v>
      </c>
      <c r="C98" s="610" t="s">
        <v>195</v>
      </c>
      <c r="D98" s="611"/>
      <c r="E98" s="108" t="s">
        <v>414</v>
      </c>
      <c r="F98" s="106">
        <v>46296</v>
      </c>
      <c r="G98" s="162">
        <v>52.8</v>
      </c>
      <c r="H98" s="610" t="s">
        <v>283</v>
      </c>
      <c r="I98" s="611"/>
      <c r="J98" s="614"/>
      <c r="K98" s="614"/>
      <c r="L98" s="614"/>
      <c r="M98" s="614"/>
      <c r="N98" s="163"/>
    </row>
    <row r="99" spans="1:14" ht="16.5" customHeight="1" x14ac:dyDescent="0.25">
      <c r="A99" s="609"/>
      <c r="B99" s="104">
        <v>14</v>
      </c>
      <c r="C99" s="615"/>
      <c r="D99" s="616"/>
      <c r="E99" s="108" t="s">
        <v>414</v>
      </c>
      <c r="F99" s="106">
        <v>46296</v>
      </c>
      <c r="G99" s="162">
        <v>8</v>
      </c>
      <c r="H99" s="612" t="s">
        <v>415</v>
      </c>
      <c r="I99" s="613"/>
      <c r="J99" s="614"/>
      <c r="K99" s="614"/>
      <c r="L99" s="614"/>
      <c r="M99" s="614"/>
    </row>
    <row r="100" spans="1:14" ht="16.5" customHeight="1" x14ac:dyDescent="0.25">
      <c r="A100" s="609"/>
      <c r="B100" s="104">
        <v>15</v>
      </c>
      <c r="C100" s="617"/>
      <c r="D100" s="618"/>
      <c r="E100" s="108" t="s">
        <v>199</v>
      </c>
      <c r="F100" s="106" t="s">
        <v>416</v>
      </c>
      <c r="G100" s="162">
        <v>11.2</v>
      </c>
      <c r="H100" s="612" t="s">
        <v>417</v>
      </c>
      <c r="I100" s="613"/>
      <c r="J100" s="614"/>
      <c r="K100" s="614"/>
      <c r="L100" s="614"/>
      <c r="M100" s="614"/>
    </row>
    <row r="101" spans="1:14" ht="18" customHeight="1" x14ac:dyDescent="0.25">
      <c r="A101" s="620" t="s">
        <v>378</v>
      </c>
      <c r="B101" s="621"/>
      <c r="C101" s="621"/>
      <c r="D101" s="621"/>
      <c r="E101" s="621"/>
      <c r="F101" s="622"/>
      <c r="G101" s="347">
        <f>SUM(G86:G100)</f>
        <v>1208.04</v>
      </c>
      <c r="H101" s="623"/>
      <c r="I101" s="623"/>
      <c r="J101" s="623"/>
      <c r="K101" s="623"/>
      <c r="L101" s="623"/>
      <c r="M101" s="623"/>
    </row>
    <row r="102" spans="1:14" ht="17.25" customHeight="1" x14ac:dyDescent="0.25">
      <c r="A102" s="1" t="s">
        <v>385</v>
      </c>
      <c r="B102" s="7"/>
      <c r="C102" s="7"/>
      <c r="D102" s="7"/>
      <c r="E102" s="7"/>
      <c r="F102" s="7"/>
      <c r="G102" s="7"/>
      <c r="H102" s="110"/>
      <c r="I102" s="111"/>
      <c r="J102" s="7"/>
      <c r="K102" s="7"/>
      <c r="L102" s="7"/>
      <c r="M102" s="7"/>
    </row>
    <row r="103" spans="1:14" ht="17.25" customHeight="1" x14ac:dyDescent="0.25">
      <c r="A103" s="1" t="s">
        <v>384</v>
      </c>
      <c r="B103" s="7"/>
      <c r="C103" s="7"/>
      <c r="D103" s="7"/>
      <c r="E103" s="7"/>
      <c r="F103" s="7"/>
      <c r="G103" s="7"/>
      <c r="H103" s="110"/>
      <c r="I103" s="111"/>
      <c r="J103" s="7"/>
      <c r="K103" s="7"/>
      <c r="L103" s="7"/>
      <c r="M103" s="7"/>
    </row>
    <row r="104" spans="1:14" ht="25.5" customHeight="1" x14ac:dyDescent="0.25">
      <c r="A104" s="624" t="s">
        <v>6</v>
      </c>
      <c r="B104" s="625"/>
      <c r="C104" s="524" t="s">
        <v>138</v>
      </c>
      <c r="D104" s="542" t="s">
        <v>8</v>
      </c>
      <c r="E104" s="542"/>
      <c r="F104" s="542"/>
      <c r="G104" s="626" t="s">
        <v>139</v>
      </c>
      <c r="H104" s="627" t="s">
        <v>140</v>
      </c>
      <c r="I104" s="339" t="s">
        <v>141</v>
      </c>
      <c r="J104" s="334" t="s">
        <v>12</v>
      </c>
      <c r="K104" s="334" t="s">
        <v>13</v>
      </c>
      <c r="L104" s="334" t="s">
        <v>14</v>
      </c>
      <c r="M104" s="338" t="s">
        <v>142</v>
      </c>
      <c r="N104" s="166" t="s">
        <v>150</v>
      </c>
    </row>
    <row r="105" spans="1:14" ht="25.5" customHeight="1" x14ac:dyDescent="0.25">
      <c r="A105" s="334" t="s">
        <v>143</v>
      </c>
      <c r="B105" s="334" t="s">
        <v>17</v>
      </c>
      <c r="C105" s="527"/>
      <c r="D105" s="334" t="s">
        <v>18</v>
      </c>
      <c r="E105" s="334" t="s">
        <v>19</v>
      </c>
      <c r="F105" s="334" t="s">
        <v>20</v>
      </c>
      <c r="G105" s="626"/>
      <c r="H105" s="628"/>
      <c r="I105" s="339" t="s">
        <v>144</v>
      </c>
      <c r="J105" s="334"/>
      <c r="K105" s="334" t="s">
        <v>22</v>
      </c>
      <c r="L105" s="334" t="s">
        <v>23</v>
      </c>
      <c r="M105" s="334" t="s">
        <v>24</v>
      </c>
    </row>
    <row r="106" spans="1:14" ht="21.75" customHeight="1" x14ac:dyDescent="0.25">
      <c r="A106" s="626" t="s">
        <v>386</v>
      </c>
      <c r="B106" s="25" t="s">
        <v>21</v>
      </c>
      <c r="C106" s="121">
        <f>+G106*100/J107</f>
        <v>56280</v>
      </c>
      <c r="D106" s="117">
        <f>+G106*D107/100</f>
        <v>51845.136000000006</v>
      </c>
      <c r="E106" s="117">
        <f>+G106*E107/100</f>
        <v>1654.6320000000001</v>
      </c>
      <c r="F106" s="117">
        <f>+G106*F107/100</f>
        <v>1654.6320000000001</v>
      </c>
      <c r="G106" s="117">
        <f>+I106*H106</f>
        <v>55154.400000000001</v>
      </c>
      <c r="H106" s="340">
        <v>4</v>
      </c>
      <c r="I106" s="17">
        <f>0.5*1340*21*0.98</f>
        <v>13788.6</v>
      </c>
      <c r="J106" s="119"/>
      <c r="K106" s="687">
        <v>1126</v>
      </c>
      <c r="L106" s="688"/>
      <c r="M106" s="119"/>
    </row>
    <row r="107" spans="1:14" ht="21.75" customHeight="1" x14ac:dyDescent="0.25">
      <c r="A107" s="626"/>
      <c r="B107" s="25" t="s">
        <v>26</v>
      </c>
      <c r="C107" s="121"/>
      <c r="D107" s="21">
        <v>94</v>
      </c>
      <c r="E107" s="21">
        <v>3</v>
      </c>
      <c r="F107" s="21">
        <v>3</v>
      </c>
      <c r="G107" s="21">
        <v>100</v>
      </c>
      <c r="H107" s="122"/>
      <c r="I107" s="123"/>
      <c r="J107" s="340">
        <v>98</v>
      </c>
      <c r="K107" s="629">
        <f>100-J107</f>
        <v>2</v>
      </c>
      <c r="L107" s="629"/>
      <c r="M107" s="120">
        <v>100</v>
      </c>
    </row>
    <row r="108" spans="1:14" ht="21.75" customHeight="1" x14ac:dyDescent="0.25">
      <c r="A108" s="626" t="s">
        <v>387</v>
      </c>
      <c r="B108" s="25" t="s">
        <v>21</v>
      </c>
      <c r="C108" s="121">
        <f>+G108*100/J109</f>
        <v>113137.23076923077</v>
      </c>
      <c r="D108" s="117">
        <f>+G108*D109/100</f>
        <v>98174.832000000009</v>
      </c>
      <c r="E108" s="117">
        <f>+G108*E109/100</f>
        <v>5515.44</v>
      </c>
      <c r="F108" s="117">
        <f>+G108*F109/100</f>
        <v>6618.5280000000002</v>
      </c>
      <c r="G108" s="117">
        <f>+I108*H108</f>
        <v>110308.8</v>
      </c>
      <c r="H108" s="349">
        <v>8</v>
      </c>
      <c r="I108" s="17">
        <f>0.5*1340*21*0.98</f>
        <v>13788.6</v>
      </c>
      <c r="J108" s="119"/>
      <c r="K108" s="687">
        <v>4596</v>
      </c>
      <c r="L108" s="688"/>
      <c r="M108" s="119"/>
    </row>
    <row r="109" spans="1:14" ht="21.75" customHeight="1" x14ac:dyDescent="0.25">
      <c r="A109" s="626"/>
      <c r="B109" s="25" t="s">
        <v>26</v>
      </c>
      <c r="C109" s="121"/>
      <c r="D109" s="21">
        <v>89</v>
      </c>
      <c r="E109" s="21">
        <v>5</v>
      </c>
      <c r="F109" s="21">
        <v>6</v>
      </c>
      <c r="G109" s="21">
        <v>100</v>
      </c>
      <c r="H109" s="122"/>
      <c r="I109" s="123"/>
      <c r="J109" s="349">
        <v>97.5</v>
      </c>
      <c r="K109" s="629">
        <f>100-J109</f>
        <v>2.5</v>
      </c>
      <c r="L109" s="629"/>
      <c r="M109" s="120">
        <v>100</v>
      </c>
    </row>
    <row r="110" spans="1:14" ht="21.75" customHeight="1" x14ac:dyDescent="0.25">
      <c r="A110" s="542" t="s">
        <v>146</v>
      </c>
      <c r="B110" s="25" t="s">
        <v>21</v>
      </c>
      <c r="C110" s="121">
        <f>+G110*100/J111</f>
        <v>263692.80000000005</v>
      </c>
      <c r="D110" s="117">
        <f>+G110*D111/100</f>
        <v>232577.0496</v>
      </c>
      <c r="E110" s="117">
        <f>+G110*E111/100</f>
        <v>18089.326079999999</v>
      </c>
      <c r="F110" s="117">
        <f>+G110*F111/100</f>
        <v>7752.5683200000003</v>
      </c>
      <c r="G110" s="117">
        <f>+I110*H110</f>
        <v>258418.94400000002</v>
      </c>
      <c r="H110" s="349">
        <v>18</v>
      </c>
      <c r="I110" s="17">
        <f>10.9*0.96*1400*0.98</f>
        <v>14356.608</v>
      </c>
      <c r="J110" s="119"/>
      <c r="K110" s="687">
        <v>3809</v>
      </c>
      <c r="L110" s="688"/>
      <c r="M110" s="119"/>
    </row>
    <row r="111" spans="1:14" ht="21.75" customHeight="1" x14ac:dyDescent="0.25">
      <c r="A111" s="542"/>
      <c r="B111" s="25" t="s">
        <v>26</v>
      </c>
      <c r="C111" s="121"/>
      <c r="D111" s="21">
        <v>90</v>
      </c>
      <c r="E111" s="21">
        <v>7</v>
      </c>
      <c r="F111" s="21">
        <v>3</v>
      </c>
      <c r="G111" s="21">
        <v>100</v>
      </c>
      <c r="H111" s="122"/>
      <c r="I111" s="123"/>
      <c r="J111" s="349">
        <v>98</v>
      </c>
      <c r="K111" s="629">
        <f>100-J111</f>
        <v>2</v>
      </c>
      <c r="L111" s="629"/>
      <c r="M111" s="120">
        <v>40</v>
      </c>
    </row>
    <row r="112" spans="1:14" ht="21.75" customHeight="1" x14ac:dyDescent="0.25">
      <c r="A112" s="542" t="s">
        <v>147</v>
      </c>
      <c r="B112" s="25" t="s">
        <v>21</v>
      </c>
      <c r="C112" s="121">
        <f>+C106+C108+C110</f>
        <v>433110.0307692308</v>
      </c>
      <c r="D112" s="121">
        <f t="shared" ref="D112:F112" si="63">+D106+D108+D110</f>
        <v>382597.01760000002</v>
      </c>
      <c r="E112" s="121">
        <f t="shared" si="63"/>
        <v>25259.398079999999</v>
      </c>
      <c r="F112" s="121">
        <f t="shared" si="63"/>
        <v>16025.72832</v>
      </c>
      <c r="G112" s="121">
        <f>+G106+G108+G110</f>
        <v>423882.14400000003</v>
      </c>
      <c r="H112" s="340">
        <f>+H106+H108+H110</f>
        <v>30</v>
      </c>
      <c r="I112" s="17">
        <f>+G112/H112</f>
        <v>14129.4048</v>
      </c>
      <c r="J112" s="123"/>
      <c r="K112" s="687">
        <f>+K110+K108+K106</f>
        <v>9531</v>
      </c>
      <c r="L112" s="688"/>
      <c r="M112" s="120"/>
    </row>
    <row r="113" spans="1:17" ht="21.75" customHeight="1" x14ac:dyDescent="0.25">
      <c r="A113" s="542"/>
      <c r="B113" s="25" t="s">
        <v>26</v>
      </c>
      <c r="C113" s="105"/>
      <c r="D113" s="125">
        <f>+D112/G112*100</f>
        <v>90.260234599549435</v>
      </c>
      <c r="E113" s="125">
        <f>+E112/G112*100</f>
        <v>5.9590616018022207</v>
      </c>
      <c r="F113" s="125">
        <f>+F112/G112*100</f>
        <v>3.7807037986483336</v>
      </c>
      <c r="G113" s="21">
        <v>100</v>
      </c>
      <c r="H113" s="122"/>
      <c r="I113" s="122"/>
      <c r="J113" s="350">
        <f>+(J107+J109+J111)/3</f>
        <v>97.833333333333329</v>
      </c>
      <c r="K113" s="676">
        <f>100-J113</f>
        <v>2.1666666666666714</v>
      </c>
      <c r="L113" s="676"/>
      <c r="M113" s="361">
        <f>+(M107/H112*H106)+(M109/H112*H108)+(M111/H112*H110)</f>
        <v>64</v>
      </c>
    </row>
    <row r="114" spans="1:17" ht="19.5" customHeight="1" x14ac:dyDescent="0.25">
      <c r="A114" s="112" t="s">
        <v>204</v>
      </c>
      <c r="B114" s="8"/>
      <c r="C114" s="7"/>
      <c r="D114" s="7"/>
      <c r="E114" s="7"/>
      <c r="F114" s="7"/>
      <c r="G114" s="7"/>
      <c r="J114" s="7"/>
      <c r="K114" s="7"/>
      <c r="L114" s="7"/>
      <c r="M114" s="7"/>
    </row>
    <row r="115" spans="1:17" ht="32.25" customHeight="1" x14ac:dyDescent="0.25">
      <c r="A115" s="624" t="s">
        <v>6</v>
      </c>
      <c r="B115" s="625"/>
      <c r="C115" s="524" t="s">
        <v>138</v>
      </c>
      <c r="D115" s="542" t="s">
        <v>8</v>
      </c>
      <c r="E115" s="542"/>
      <c r="F115" s="542"/>
      <c r="G115" s="626" t="s">
        <v>139</v>
      </c>
      <c r="H115" s="627" t="s">
        <v>149</v>
      </c>
      <c r="I115" s="126" t="s">
        <v>141</v>
      </c>
      <c r="J115" s="628" t="s">
        <v>12</v>
      </c>
      <c r="K115" s="334" t="s">
        <v>13</v>
      </c>
      <c r="L115" s="334" t="s">
        <v>14</v>
      </c>
      <c r="M115" s="338" t="s">
        <v>142</v>
      </c>
    </row>
    <row r="116" spans="1:17" ht="17.25" customHeight="1" x14ac:dyDescent="0.25">
      <c r="A116" s="334" t="s">
        <v>151</v>
      </c>
      <c r="B116" s="334" t="s">
        <v>17</v>
      </c>
      <c r="C116" s="527"/>
      <c r="D116" s="334" t="s">
        <v>18</v>
      </c>
      <c r="E116" s="334" t="s">
        <v>19</v>
      </c>
      <c r="F116" s="334" t="s">
        <v>20</v>
      </c>
      <c r="G116" s="542"/>
      <c r="H116" s="627"/>
      <c r="I116" s="339" t="s">
        <v>144</v>
      </c>
      <c r="J116" s="628"/>
      <c r="K116" s="334" t="s">
        <v>22</v>
      </c>
      <c r="L116" s="334" t="s">
        <v>23</v>
      </c>
      <c r="M116" s="334" t="s">
        <v>24</v>
      </c>
      <c r="Q116">
        <f>15410*31</f>
        <v>477710</v>
      </c>
    </row>
    <row r="117" spans="1:17" ht="21.75" customHeight="1" x14ac:dyDescent="0.25">
      <c r="A117" s="626" t="s">
        <v>386</v>
      </c>
      <c r="B117" s="25" t="s">
        <v>21</v>
      </c>
      <c r="C117" s="121">
        <f>+G117*100/J118</f>
        <v>57405.599999999999</v>
      </c>
      <c r="D117" s="117">
        <f>+G117*D118/100</f>
        <v>54117.407231999998</v>
      </c>
      <c r="E117" s="117">
        <f>+G117*E118/100</f>
        <v>1127.445984</v>
      </c>
      <c r="F117" s="117">
        <f>+G117*F118/100</f>
        <v>1127.445984</v>
      </c>
      <c r="G117" s="117">
        <f>+I117*H117</f>
        <v>56372.299200000001</v>
      </c>
      <c r="H117" s="349">
        <v>4</v>
      </c>
      <c r="I117" s="17">
        <f>0.5*1340*21*0.982*1.02</f>
        <v>14093.0748</v>
      </c>
      <c r="J117" s="119"/>
      <c r="K117" s="687">
        <v>1033</v>
      </c>
      <c r="L117" s="688"/>
      <c r="M117" s="119"/>
    </row>
    <row r="118" spans="1:17" ht="21.75" customHeight="1" x14ac:dyDescent="0.25">
      <c r="A118" s="626"/>
      <c r="B118" s="25" t="s">
        <v>26</v>
      </c>
      <c r="C118" s="121"/>
      <c r="D118" s="21">
        <v>96</v>
      </c>
      <c r="E118" s="21">
        <v>2</v>
      </c>
      <c r="F118" s="21">
        <v>2</v>
      </c>
      <c r="G118" s="21">
        <v>100</v>
      </c>
      <c r="H118" s="122"/>
      <c r="I118" s="123"/>
      <c r="J118" s="349">
        <v>98.2</v>
      </c>
      <c r="K118" s="629">
        <f>100-J118</f>
        <v>1.7999999999999972</v>
      </c>
      <c r="L118" s="629"/>
      <c r="M118" s="120">
        <v>100</v>
      </c>
    </row>
    <row r="119" spans="1:17" ht="21.75" customHeight="1" x14ac:dyDescent="0.25">
      <c r="A119" s="626" t="s">
        <v>387</v>
      </c>
      <c r="B119" s="25" t="s">
        <v>21</v>
      </c>
      <c r="C119" s="121">
        <f>+G119*100/J120</f>
        <v>114811.2</v>
      </c>
      <c r="D119" s="117">
        <f>+G119*D120/100</f>
        <v>102597.58454400001</v>
      </c>
      <c r="E119" s="117">
        <f>+G119*E120/100</f>
        <v>4509.7839359999998</v>
      </c>
      <c r="F119" s="117">
        <f>+G119*F120/100</f>
        <v>5637.2299199999998</v>
      </c>
      <c r="G119" s="117">
        <f>+I119*H119</f>
        <v>112744.5984</v>
      </c>
      <c r="H119" s="349">
        <v>8</v>
      </c>
      <c r="I119" s="17">
        <f>0.5*1340*21*0.982*1.02</f>
        <v>14093.0748</v>
      </c>
      <c r="J119" s="119"/>
      <c r="K119" s="687">
        <v>3358</v>
      </c>
      <c r="L119" s="688"/>
      <c r="M119" s="119"/>
    </row>
    <row r="120" spans="1:17" ht="21.75" customHeight="1" x14ac:dyDescent="0.25">
      <c r="A120" s="626"/>
      <c r="B120" s="25" t="s">
        <v>26</v>
      </c>
      <c r="C120" s="121"/>
      <c r="D120" s="21">
        <v>91</v>
      </c>
      <c r="E120" s="21">
        <v>4</v>
      </c>
      <c r="F120" s="21">
        <v>5</v>
      </c>
      <c r="G120" s="21">
        <v>100</v>
      </c>
      <c r="H120" s="122"/>
      <c r="I120" s="123"/>
      <c r="J120" s="349">
        <v>98.2</v>
      </c>
      <c r="K120" s="629">
        <f>100-J120</f>
        <v>1.7999999999999972</v>
      </c>
      <c r="L120" s="629"/>
      <c r="M120" s="120">
        <v>100</v>
      </c>
    </row>
    <row r="121" spans="1:17" ht="21.75" customHeight="1" x14ac:dyDescent="0.25">
      <c r="A121" s="542" t="s">
        <v>146</v>
      </c>
      <c r="B121" s="25" t="s">
        <v>21</v>
      </c>
      <c r="C121" s="121">
        <f>+G121*100/J122</f>
        <v>268966.65599999996</v>
      </c>
      <c r="D121" s="117">
        <f>+G121*D122/100</f>
        <v>242995.23569664001</v>
      </c>
      <c r="E121" s="117">
        <f>+G121*E122/100</f>
        <v>13206.262809600001</v>
      </c>
      <c r="F121" s="117">
        <f>+G121*F122/100</f>
        <v>7923.7576857599997</v>
      </c>
      <c r="G121" s="117">
        <f>+I121*H121</f>
        <v>264125.256192</v>
      </c>
      <c r="H121" s="349">
        <v>18</v>
      </c>
      <c r="I121" s="17">
        <f>10.9*0.96*1400*0.982*1.02</f>
        <v>14673.625344</v>
      </c>
      <c r="J121" s="119"/>
      <c r="K121" s="687">
        <v>3809</v>
      </c>
      <c r="L121" s="688"/>
      <c r="M121" s="119"/>
    </row>
    <row r="122" spans="1:17" ht="21.75" customHeight="1" x14ac:dyDescent="0.25">
      <c r="A122" s="542"/>
      <c r="B122" s="25" t="s">
        <v>26</v>
      </c>
      <c r="C122" s="121"/>
      <c r="D122" s="21">
        <v>92</v>
      </c>
      <c r="E122" s="21">
        <v>5</v>
      </c>
      <c r="F122" s="21">
        <v>3</v>
      </c>
      <c r="G122" s="21">
        <v>100</v>
      </c>
      <c r="H122" s="122"/>
      <c r="I122" s="123"/>
      <c r="J122" s="349">
        <v>98.2</v>
      </c>
      <c r="K122" s="629">
        <f>100-J122</f>
        <v>1.7999999999999972</v>
      </c>
      <c r="L122" s="629"/>
      <c r="M122" s="120">
        <v>40</v>
      </c>
    </row>
    <row r="123" spans="1:17" ht="17.25" customHeight="1" x14ac:dyDescent="0.25">
      <c r="A123" s="542" t="s">
        <v>147</v>
      </c>
      <c r="B123" s="25" t="s">
        <v>21</v>
      </c>
      <c r="C123" s="127">
        <f>+C117+C119+C121</f>
        <v>441183.45599999995</v>
      </c>
      <c r="D123" s="127">
        <f t="shared" ref="D123:H123" si="64">+D117+D119+D121</f>
        <v>399710.22747263999</v>
      </c>
      <c r="E123" s="127">
        <f t="shared" si="64"/>
        <v>18843.492729600002</v>
      </c>
      <c r="F123" s="127">
        <f t="shared" si="64"/>
        <v>14688.433589759999</v>
      </c>
      <c r="G123" s="127">
        <f t="shared" si="64"/>
        <v>433242.15379200003</v>
      </c>
      <c r="H123" s="127">
        <f t="shared" si="64"/>
        <v>30</v>
      </c>
      <c r="I123" s="167">
        <f>+G123/H123</f>
        <v>14441.405126400001</v>
      </c>
      <c r="J123" s="129"/>
      <c r="K123" s="129"/>
      <c r="L123" s="129"/>
      <c r="M123" s="130"/>
    </row>
    <row r="124" spans="1:17" ht="17.25" customHeight="1" x14ac:dyDescent="0.25">
      <c r="A124" s="542"/>
      <c r="B124" s="25" t="s">
        <v>26</v>
      </c>
      <c r="C124" s="105"/>
      <c r="D124" s="362">
        <f>+D123/G123</f>
        <v>0.9226023459954944</v>
      </c>
      <c r="E124" s="362">
        <f>+E123/G123</f>
        <v>4.3494135011263889E-2</v>
      </c>
      <c r="F124" s="362">
        <f>+F123/$G$123</f>
        <v>3.3903518993241663E-2</v>
      </c>
      <c r="G124" s="21">
        <v>100</v>
      </c>
      <c r="H124" s="129"/>
      <c r="I124" s="129"/>
      <c r="J124" s="335"/>
      <c r="K124" s="634"/>
      <c r="L124" s="634"/>
      <c r="M124" s="58"/>
    </row>
    <row r="125" spans="1:17" ht="17.25" customHeight="1" x14ac:dyDescent="0.25">
      <c r="A125" s="1" t="s">
        <v>394</v>
      </c>
      <c r="B125" s="7"/>
      <c r="C125" s="7"/>
      <c r="D125" s="7"/>
      <c r="E125" s="7"/>
      <c r="F125" s="7"/>
      <c r="G125" s="7"/>
      <c r="J125" s="7"/>
      <c r="K125" s="7"/>
      <c r="L125" s="7"/>
      <c r="M125" s="7"/>
    </row>
    <row r="126" spans="1:17" ht="17.25" customHeight="1" x14ac:dyDescent="0.25">
      <c r="A126" s="353" t="s">
        <v>395</v>
      </c>
      <c r="B126" s="331"/>
      <c r="C126" s="331"/>
      <c r="D126" s="331"/>
      <c r="E126" s="331"/>
      <c r="F126" s="331"/>
      <c r="G126" s="331"/>
      <c r="H126" s="331"/>
      <c r="I126" s="331"/>
      <c r="J126" s="331"/>
      <c r="K126" s="331"/>
      <c r="L126" s="331"/>
      <c r="M126" s="331"/>
      <c r="Q126" t="e">
        <v>#REF!</v>
      </c>
    </row>
    <row r="127" spans="1:17" ht="17.25" customHeight="1" x14ac:dyDescent="0.25">
      <c r="A127" s="1" t="s">
        <v>154</v>
      </c>
      <c r="B127" s="7"/>
      <c r="C127" s="7"/>
      <c r="D127" s="7"/>
      <c r="E127" s="7"/>
      <c r="F127" s="7"/>
      <c r="G127" s="7"/>
      <c r="J127" s="7"/>
      <c r="K127" s="7"/>
      <c r="L127" s="7"/>
      <c r="M127" s="7"/>
    </row>
    <row r="128" spans="1:17" ht="17.25" customHeight="1" x14ac:dyDescent="0.25">
      <c r="A128" s="630" t="s">
        <v>396</v>
      </c>
      <c r="B128" s="630"/>
      <c r="C128" s="630"/>
      <c r="D128" s="630"/>
      <c r="E128" s="630"/>
      <c r="F128" s="630"/>
      <c r="G128" s="630"/>
      <c r="H128" s="630"/>
      <c r="I128" s="630"/>
      <c r="J128" s="630"/>
      <c r="K128" s="630"/>
      <c r="L128" s="630"/>
      <c r="M128" s="630"/>
    </row>
    <row r="129" spans="1:13" ht="17.25" customHeight="1" x14ac:dyDescent="0.25">
      <c r="A129" s="631" t="s">
        <v>156</v>
      </c>
      <c r="B129" s="631"/>
      <c r="C129" s="631"/>
      <c r="D129" s="631"/>
      <c r="E129" s="631"/>
      <c r="F129" s="631"/>
      <c r="G129" s="631"/>
      <c r="H129" s="631"/>
      <c r="I129" s="631"/>
      <c r="J129" s="631"/>
      <c r="K129" s="631"/>
      <c r="L129" s="631"/>
      <c r="M129" s="631"/>
    </row>
    <row r="130" spans="1:13" ht="17.25" customHeight="1" x14ac:dyDescent="0.25">
      <c r="A130" s="139" t="s">
        <v>157</v>
      </c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</row>
    <row r="131" spans="1:13" ht="17.25" customHeight="1" x14ac:dyDescent="0.25">
      <c r="A131" s="141" t="s">
        <v>158</v>
      </c>
      <c r="B131" s="7"/>
      <c r="C131" s="7"/>
      <c r="D131" s="7"/>
      <c r="E131" s="7"/>
      <c r="F131" s="7"/>
      <c r="G131" s="7"/>
      <c r="J131" s="632" t="s">
        <v>397</v>
      </c>
      <c r="K131" s="632"/>
      <c r="L131" s="632"/>
      <c r="M131" s="632"/>
    </row>
    <row r="132" spans="1:13" ht="17.25" customHeight="1" x14ac:dyDescent="0.25">
      <c r="A132" s="7"/>
      <c r="B132" s="7"/>
      <c r="C132" s="7"/>
      <c r="D132" s="633" t="s">
        <v>160</v>
      </c>
      <c r="E132" s="633"/>
      <c r="F132" s="7"/>
      <c r="G132" s="7"/>
      <c r="J132" s="7"/>
      <c r="K132" s="1" t="s">
        <v>161</v>
      </c>
      <c r="L132" s="7"/>
      <c r="M132" s="7"/>
    </row>
    <row r="133" spans="1:13" x14ac:dyDescent="0.25">
      <c r="A133" s="141"/>
      <c r="B133" s="7"/>
      <c r="C133" s="7"/>
      <c r="D133" s="7"/>
      <c r="E133" s="7"/>
      <c r="F133" s="7"/>
      <c r="G133" s="7"/>
      <c r="J133" s="7"/>
      <c r="K133" s="7"/>
      <c r="L133" s="7"/>
      <c r="M133" s="7"/>
    </row>
    <row r="134" spans="1:13" x14ac:dyDescent="0.25">
      <c r="A134" s="143" t="s">
        <v>162</v>
      </c>
      <c r="B134" s="7"/>
      <c r="C134" s="7"/>
      <c r="D134" s="7"/>
      <c r="E134" s="7"/>
      <c r="F134" s="7"/>
      <c r="G134" s="7"/>
      <c r="J134" s="7"/>
      <c r="K134" s="7"/>
      <c r="L134" s="7"/>
      <c r="M134" s="7"/>
    </row>
    <row r="135" spans="1:13" x14ac:dyDescent="0.25">
      <c r="A135" s="2" t="s">
        <v>163</v>
      </c>
      <c r="B135" s="7"/>
      <c r="C135" s="7"/>
      <c r="D135" s="7"/>
      <c r="E135" s="7"/>
      <c r="F135" s="7"/>
      <c r="G135" s="7"/>
      <c r="J135" s="7"/>
      <c r="K135" s="7"/>
      <c r="L135" s="7"/>
      <c r="M135" s="7"/>
    </row>
    <row r="136" spans="1:13" x14ac:dyDescent="0.25">
      <c r="A136" s="2" t="s">
        <v>164</v>
      </c>
      <c r="B136" s="7"/>
      <c r="C136" s="7"/>
      <c r="D136" s="7"/>
      <c r="E136" s="7"/>
      <c r="F136" s="7"/>
      <c r="G136" s="7"/>
      <c r="J136" s="7"/>
      <c r="K136" s="7"/>
      <c r="L136" s="7"/>
      <c r="M136" s="7"/>
    </row>
    <row r="137" spans="1:13" x14ac:dyDescent="0.25">
      <c r="A137" s="144" t="s">
        <v>165</v>
      </c>
      <c r="B137" s="7"/>
      <c r="C137" s="7"/>
      <c r="D137" s="7"/>
      <c r="E137" s="7"/>
      <c r="F137" s="7"/>
      <c r="G137" s="7"/>
      <c r="J137" s="632" t="s">
        <v>166</v>
      </c>
      <c r="K137" s="632"/>
      <c r="L137" s="632"/>
      <c r="M137" s="632"/>
    </row>
    <row r="138" spans="1:13" x14ac:dyDescent="0.25">
      <c r="A138" s="2"/>
      <c r="B138" s="7"/>
      <c r="C138" s="7"/>
      <c r="D138" s="7"/>
      <c r="E138" s="7"/>
      <c r="F138" s="7"/>
      <c r="G138" s="7"/>
      <c r="J138" s="7"/>
      <c r="K138" s="632"/>
      <c r="L138" s="632"/>
      <c r="M138" s="7"/>
    </row>
    <row r="139" spans="1:13" x14ac:dyDescent="0.25">
      <c r="A139" s="144"/>
      <c r="B139" s="7"/>
      <c r="C139" s="7"/>
      <c r="D139" s="7"/>
      <c r="E139" s="7"/>
      <c r="F139" s="7"/>
      <c r="G139" s="7"/>
      <c r="J139" s="7"/>
      <c r="K139" s="7"/>
      <c r="L139" s="7"/>
      <c r="M139" s="7"/>
    </row>
    <row r="140" spans="1:13" x14ac:dyDescent="0.25">
      <c r="A140" s="2"/>
      <c r="B140" s="7"/>
      <c r="C140" s="7"/>
      <c r="D140" s="7"/>
      <c r="E140" s="7"/>
      <c r="F140" s="7"/>
      <c r="G140" s="7"/>
      <c r="J140" s="7"/>
      <c r="K140" s="7"/>
      <c r="L140" s="7"/>
      <c r="M140" s="7"/>
    </row>
    <row r="141" spans="1:13" x14ac:dyDescent="0.25">
      <c r="A141" s="145"/>
    </row>
    <row r="142" spans="1:13" x14ac:dyDescent="0.25">
      <c r="A142" s="145"/>
    </row>
    <row r="147" spans="1:1" ht="15.75" x14ac:dyDescent="0.25">
      <c r="A147" s="146"/>
    </row>
    <row r="148" spans="1:1" ht="15.75" x14ac:dyDescent="0.25">
      <c r="A148" s="146"/>
    </row>
    <row r="149" spans="1:1" ht="15.75" x14ac:dyDescent="0.25">
      <c r="A149" s="146"/>
    </row>
    <row r="150" spans="1:1" ht="15.75" x14ac:dyDescent="0.25">
      <c r="A150" s="146"/>
    </row>
    <row r="151" spans="1:1" ht="15.75" x14ac:dyDescent="0.25">
      <c r="A151" s="146"/>
    </row>
    <row r="152" spans="1:1" ht="15.75" x14ac:dyDescent="0.25">
      <c r="A152" s="147"/>
    </row>
  </sheetData>
  <mergeCells count="339">
    <mergeCell ref="J131:M131"/>
    <mergeCell ref="D132:E132"/>
    <mergeCell ref="J137:M137"/>
    <mergeCell ref="K138:L138"/>
    <mergeCell ref="A123:A124"/>
    <mergeCell ref="K124:L124"/>
    <mergeCell ref="A128:M128"/>
    <mergeCell ref="A129:M129"/>
    <mergeCell ref="C88:D89"/>
    <mergeCell ref="A106:A107"/>
    <mergeCell ref="K107:L107"/>
    <mergeCell ref="A112:A113"/>
    <mergeCell ref="K113:L113"/>
    <mergeCell ref="A115:B115"/>
    <mergeCell ref="C115:C116"/>
    <mergeCell ref="D115:F115"/>
    <mergeCell ref="G115:G116"/>
    <mergeCell ref="H115:H116"/>
    <mergeCell ref="J115:J116"/>
    <mergeCell ref="A108:A109"/>
    <mergeCell ref="K109:L109"/>
    <mergeCell ref="A110:A111"/>
    <mergeCell ref="K111:L111"/>
    <mergeCell ref="K106:L106"/>
    <mergeCell ref="K108:L108"/>
    <mergeCell ref="K110:L110"/>
    <mergeCell ref="K112:L112"/>
    <mergeCell ref="A101:F101"/>
    <mergeCell ref="H101:M101"/>
    <mergeCell ref="A104:B104"/>
    <mergeCell ref="C104:C105"/>
    <mergeCell ref="D104:F104"/>
    <mergeCell ref="G104:G105"/>
    <mergeCell ref="H104:H105"/>
    <mergeCell ref="J89:M89"/>
    <mergeCell ref="H99:I99"/>
    <mergeCell ref="J99:M99"/>
    <mergeCell ref="H100:I100"/>
    <mergeCell ref="J100:M100"/>
    <mergeCell ref="C85:D85"/>
    <mergeCell ref="H85:I85"/>
    <mergeCell ref="J85:M85"/>
    <mergeCell ref="C95:D96"/>
    <mergeCell ref="H95:I96"/>
    <mergeCell ref="C97:D97"/>
    <mergeCell ref="H97:I97"/>
    <mergeCell ref="C98:D100"/>
    <mergeCell ref="H98:I98"/>
    <mergeCell ref="J90:M90"/>
    <mergeCell ref="J91:M91"/>
    <mergeCell ref="J92:M92"/>
    <mergeCell ref="J93:M93"/>
    <mergeCell ref="J94:M94"/>
    <mergeCell ref="J95:M95"/>
    <mergeCell ref="J96:M96"/>
    <mergeCell ref="J97:M97"/>
    <mergeCell ref="J98:M98"/>
    <mergeCell ref="A86:A100"/>
    <mergeCell ref="C86:D86"/>
    <mergeCell ref="H86:I86"/>
    <mergeCell ref="J86:M86"/>
    <mergeCell ref="C87:D87"/>
    <mergeCell ref="H87:I87"/>
    <mergeCell ref="J87:M87"/>
    <mergeCell ref="B82:C82"/>
    <mergeCell ref="H82:I82"/>
    <mergeCell ref="K82:M82"/>
    <mergeCell ref="A83:C83"/>
    <mergeCell ref="H83:I83"/>
    <mergeCell ref="K83:M83"/>
    <mergeCell ref="H88:I88"/>
    <mergeCell ref="J88:M88"/>
    <mergeCell ref="C90:D90"/>
    <mergeCell ref="H90:I90"/>
    <mergeCell ref="C91:D92"/>
    <mergeCell ref="H91:I92"/>
    <mergeCell ref="C93:D93"/>
    <mergeCell ref="H93:I93"/>
    <mergeCell ref="C94:D94"/>
    <mergeCell ref="H94:I94"/>
    <mergeCell ref="H89:I89"/>
    <mergeCell ref="B80:C80"/>
    <mergeCell ref="H80:I80"/>
    <mergeCell ref="K80:M80"/>
    <mergeCell ref="B81:C81"/>
    <mergeCell ref="H81:I81"/>
    <mergeCell ref="K81:M81"/>
    <mergeCell ref="B78:C78"/>
    <mergeCell ref="H78:I78"/>
    <mergeCell ref="K78:M78"/>
    <mergeCell ref="B79:C79"/>
    <mergeCell ref="H79:I79"/>
    <mergeCell ref="K79:M79"/>
    <mergeCell ref="K75:M75"/>
    <mergeCell ref="B76:C76"/>
    <mergeCell ref="H76:I76"/>
    <mergeCell ref="K76:M76"/>
    <mergeCell ref="B77:C77"/>
    <mergeCell ref="H77:I77"/>
    <mergeCell ref="K77:M77"/>
    <mergeCell ref="A75:C75"/>
    <mergeCell ref="H75:I75"/>
    <mergeCell ref="B71:C71"/>
    <mergeCell ref="G71:H71"/>
    <mergeCell ref="B72:C72"/>
    <mergeCell ref="G72:H72"/>
    <mergeCell ref="B73:C73"/>
    <mergeCell ref="G73:H73"/>
    <mergeCell ref="B69:C69"/>
    <mergeCell ref="G69:H69"/>
    <mergeCell ref="K69:L69"/>
    <mergeCell ref="B70:C70"/>
    <mergeCell ref="G70:H70"/>
    <mergeCell ref="K70:M70"/>
    <mergeCell ref="K66:M66"/>
    <mergeCell ref="B67:C67"/>
    <mergeCell ref="G67:H67"/>
    <mergeCell ref="B68:C68"/>
    <mergeCell ref="G68:H68"/>
    <mergeCell ref="K68:L68"/>
    <mergeCell ref="B64:C64"/>
    <mergeCell ref="G64:H64"/>
    <mergeCell ref="B65:C65"/>
    <mergeCell ref="G65:H65"/>
    <mergeCell ref="B66:C66"/>
    <mergeCell ref="G66:H66"/>
    <mergeCell ref="G63:H63"/>
    <mergeCell ref="B58:C58"/>
    <mergeCell ref="G58:H58"/>
    <mergeCell ref="K58:M58"/>
    <mergeCell ref="B59:C59"/>
    <mergeCell ref="G59:H59"/>
    <mergeCell ref="B60:C60"/>
    <mergeCell ref="G60:H60"/>
    <mergeCell ref="K60:M60"/>
    <mergeCell ref="B62:C62"/>
    <mergeCell ref="G62:H62"/>
    <mergeCell ref="B63:C63"/>
    <mergeCell ref="B45:C45"/>
    <mergeCell ref="D45:E45"/>
    <mergeCell ref="F45:G45"/>
    <mergeCell ref="H45:I45"/>
    <mergeCell ref="J45:K45"/>
    <mergeCell ref="J49:K49"/>
    <mergeCell ref="B50:C50"/>
    <mergeCell ref="D50:E50"/>
    <mergeCell ref="F50:G50"/>
    <mergeCell ref="H50:I50"/>
    <mergeCell ref="J50:K50"/>
    <mergeCell ref="A44:A45"/>
    <mergeCell ref="B44:C44"/>
    <mergeCell ref="D44:E44"/>
    <mergeCell ref="F44:G44"/>
    <mergeCell ref="H44:I44"/>
    <mergeCell ref="J44:K44"/>
    <mergeCell ref="A40:A41"/>
    <mergeCell ref="A42:A43"/>
    <mergeCell ref="J42:K42"/>
    <mergeCell ref="B43:C43"/>
    <mergeCell ref="D43:E43"/>
    <mergeCell ref="F43:G43"/>
    <mergeCell ref="H43:I43"/>
    <mergeCell ref="J43:K43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A34:A35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J31:K31"/>
    <mergeCell ref="A32:A33"/>
    <mergeCell ref="B32:C32"/>
    <mergeCell ref="D32:E32"/>
    <mergeCell ref="F32:G32"/>
    <mergeCell ref="H32:I32"/>
    <mergeCell ref="J32:K32"/>
    <mergeCell ref="B33:C33"/>
    <mergeCell ref="D33:E33"/>
    <mergeCell ref="F33:G33"/>
    <mergeCell ref="A30:A31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H33:I33"/>
    <mergeCell ref="J33:K33"/>
    <mergeCell ref="A28:A29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A26:A27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A24:A25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F42:G42"/>
    <mergeCell ref="H42:I42"/>
    <mergeCell ref="A13:A14"/>
    <mergeCell ref="K14:L14"/>
    <mergeCell ref="A15:A16"/>
    <mergeCell ref="H21:I21"/>
    <mergeCell ref="A22:A23"/>
    <mergeCell ref="B22:C22"/>
    <mergeCell ref="D22:E22"/>
    <mergeCell ref="F22:G22"/>
    <mergeCell ref="H22:I22"/>
    <mergeCell ref="A20:A21"/>
    <mergeCell ref="B20:I20"/>
    <mergeCell ref="J20:K21"/>
    <mergeCell ref="J22:K22"/>
    <mergeCell ref="L22:M45"/>
    <mergeCell ref="B23:C23"/>
    <mergeCell ref="D23:E23"/>
    <mergeCell ref="F23:G23"/>
    <mergeCell ref="H23:I23"/>
    <mergeCell ref="J23:K23"/>
    <mergeCell ref="J25:K25"/>
    <mergeCell ref="J27:K27"/>
    <mergeCell ref="J29:K29"/>
    <mergeCell ref="B40:C40"/>
    <mergeCell ref="D40:E40"/>
    <mergeCell ref="A4:M4"/>
    <mergeCell ref="A9:B9"/>
    <mergeCell ref="D9:F9"/>
    <mergeCell ref="G9:G10"/>
    <mergeCell ref="H9:H10"/>
    <mergeCell ref="J9:J10"/>
    <mergeCell ref="K11:L11"/>
    <mergeCell ref="A38:A3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L20:M21"/>
    <mergeCell ref="B21:C21"/>
    <mergeCell ref="D21:E21"/>
    <mergeCell ref="F21:G21"/>
    <mergeCell ref="A11:A12"/>
    <mergeCell ref="K12:L12"/>
    <mergeCell ref="A117:A118"/>
    <mergeCell ref="K117:L117"/>
    <mergeCell ref="K118:L118"/>
    <mergeCell ref="A119:A120"/>
    <mergeCell ref="K119:L119"/>
    <mergeCell ref="K120:L120"/>
    <mergeCell ref="A121:A122"/>
    <mergeCell ref="K121:L121"/>
    <mergeCell ref="K122:L122"/>
    <mergeCell ref="A47:A48"/>
    <mergeCell ref="B47:I47"/>
    <mergeCell ref="J47:K48"/>
    <mergeCell ref="L47:M48"/>
    <mergeCell ref="B48:C48"/>
    <mergeCell ref="D48:E48"/>
    <mergeCell ref="F48:G48"/>
    <mergeCell ref="H48:I48"/>
    <mergeCell ref="A49:A50"/>
    <mergeCell ref="B49:C49"/>
    <mergeCell ref="D49:E49"/>
    <mergeCell ref="F49:G49"/>
    <mergeCell ref="H49:I49"/>
    <mergeCell ref="A51:A52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6:C56"/>
    <mergeCell ref="G56:H56"/>
    <mergeCell ref="K56:M56"/>
    <mergeCell ref="B57:C57"/>
    <mergeCell ref="G57:H57"/>
    <mergeCell ref="K57:M57"/>
    <mergeCell ref="L49:M52"/>
    <mergeCell ref="B61:C61"/>
    <mergeCell ref="G61:H61"/>
  </mergeCells>
  <pageMargins left="0.19685039370078741" right="0.19685039370078741" top="0.19685039370078741" bottom="0.19685039370078741" header="0.2" footer="0.19685039370078741"/>
  <pageSetup paperSize="9" scale="99" fitToHeight="0" orientation="landscape" r:id="rId1"/>
  <rowBreaks count="3" manualBreakCount="3">
    <brk id="37" max="12" man="1"/>
    <brk id="76" max="12" man="1"/>
    <brk id="107" max="12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201"/>
  <sheetViews>
    <sheetView tabSelected="1" topLeftCell="A140" zoomScaleNormal="100" zoomScaleSheetLayoutView="90" workbookViewId="0">
      <selection activeCell="F94" sqref="F94"/>
    </sheetView>
  </sheetViews>
  <sheetFormatPr defaultRowHeight="15" x14ac:dyDescent="0.25"/>
  <cols>
    <col min="1" max="1" width="13.85546875" customWidth="1"/>
    <col min="2" max="2" width="7" customWidth="1"/>
    <col min="3" max="3" width="12" customWidth="1"/>
    <col min="4" max="4" width="12.42578125" customWidth="1"/>
    <col min="5" max="5" width="14.140625" customWidth="1"/>
    <col min="6" max="6" width="11.140625" customWidth="1"/>
    <col min="7" max="7" width="12.42578125" customWidth="1"/>
    <col min="8" max="8" width="11.42578125" style="5" customWidth="1"/>
    <col min="9" max="9" width="12.85546875" style="6" customWidth="1"/>
    <col min="10" max="10" width="10.85546875" customWidth="1"/>
    <col min="11" max="12" width="8.28515625" customWidth="1"/>
    <col min="13" max="13" width="11.140625" customWidth="1"/>
    <col min="14" max="14" width="15" customWidth="1"/>
    <col min="15" max="15" width="17" customWidth="1"/>
    <col min="16" max="16" width="18.42578125" customWidth="1"/>
    <col min="17" max="17" width="16.7109375" customWidth="1"/>
  </cols>
  <sheetData>
    <row r="1" spans="1:17" x14ac:dyDescent="0.25">
      <c r="A1" s="1" t="s">
        <v>0</v>
      </c>
      <c r="B1" s="2"/>
      <c r="C1" s="2"/>
      <c r="D1" s="3"/>
      <c r="E1" s="3"/>
      <c r="F1" s="2"/>
      <c r="G1" s="3"/>
      <c r="H1" s="4"/>
      <c r="I1" s="4"/>
      <c r="J1" s="2"/>
      <c r="K1" s="2"/>
      <c r="L1" s="2"/>
      <c r="M1" s="2"/>
    </row>
    <row r="2" spans="1:17" x14ac:dyDescent="0.25">
      <c r="A2" s="1" t="s">
        <v>1</v>
      </c>
      <c r="B2" s="2"/>
      <c r="C2" s="2"/>
      <c r="D2" s="3"/>
      <c r="E2" s="3"/>
      <c r="F2" s="2"/>
      <c r="G2" s="3"/>
      <c r="H2" s="4"/>
      <c r="I2" s="4"/>
      <c r="J2" s="2"/>
      <c r="K2" s="2"/>
      <c r="L2" s="2"/>
      <c r="M2" s="2"/>
    </row>
    <row r="3" spans="1:17" ht="7.5" customHeight="1" x14ac:dyDescent="0.25">
      <c r="A3" s="2"/>
      <c r="B3" s="2"/>
      <c r="C3" s="2"/>
      <c r="D3" s="3"/>
      <c r="E3" s="3"/>
      <c r="F3" s="2"/>
      <c r="G3" s="3"/>
      <c r="H3" s="4"/>
      <c r="I3" s="4"/>
      <c r="J3" s="2"/>
      <c r="K3" s="2"/>
      <c r="L3" s="2"/>
      <c r="M3" s="2"/>
    </row>
    <row r="4" spans="1:17" ht="22.5" x14ac:dyDescent="0.25">
      <c r="A4" s="521" t="s">
        <v>418</v>
      </c>
      <c r="B4" s="521"/>
      <c r="C4" s="521"/>
      <c r="D4" s="521"/>
      <c r="E4" s="521"/>
      <c r="F4" s="521"/>
      <c r="G4" s="521"/>
      <c r="H4" s="521"/>
      <c r="I4" s="521"/>
      <c r="J4" s="521"/>
      <c r="K4" s="521"/>
      <c r="L4" s="521"/>
      <c r="M4" s="521"/>
    </row>
    <row r="5" spans="1:17" ht="8.25" customHeight="1" x14ac:dyDescent="0.25"/>
    <row r="6" spans="1:17" ht="19.5" customHeight="1" x14ac:dyDescent="0.25">
      <c r="A6" s="691" t="s">
        <v>419</v>
      </c>
      <c r="B6" s="691"/>
      <c r="C6" s="691"/>
      <c r="D6" s="691"/>
      <c r="E6" s="7"/>
      <c r="F6" s="7"/>
      <c r="G6" s="7"/>
      <c r="J6" s="7"/>
      <c r="K6" s="7"/>
      <c r="L6" s="7"/>
      <c r="M6" s="7"/>
    </row>
    <row r="7" spans="1:17" ht="19.5" hidden="1" customHeight="1" x14ac:dyDescent="0.25">
      <c r="A7" s="1" t="s">
        <v>4</v>
      </c>
      <c r="B7" s="8"/>
      <c r="C7" s="7"/>
      <c r="D7" s="7"/>
      <c r="E7" s="7"/>
      <c r="F7" s="7"/>
      <c r="G7" s="7"/>
      <c r="J7" s="7"/>
      <c r="K7" s="7"/>
      <c r="L7" s="7"/>
      <c r="M7" s="7"/>
    </row>
    <row r="8" spans="1:17" ht="19.5" customHeight="1" x14ac:dyDescent="0.25">
      <c r="A8" s="1" t="s">
        <v>5</v>
      </c>
      <c r="B8" s="7"/>
      <c r="C8" s="7"/>
      <c r="D8" s="7"/>
      <c r="E8" s="7"/>
      <c r="F8" s="7"/>
      <c r="G8" s="7"/>
      <c r="J8" s="7"/>
      <c r="K8" s="7"/>
      <c r="L8" s="7"/>
      <c r="M8" s="7"/>
    </row>
    <row r="9" spans="1:17" ht="28.5" customHeight="1" x14ac:dyDescent="0.25">
      <c r="A9" s="524" t="s">
        <v>6</v>
      </c>
      <c r="B9" s="524"/>
      <c r="C9" s="370" t="s">
        <v>7</v>
      </c>
      <c r="D9" s="524" t="s">
        <v>8</v>
      </c>
      <c r="E9" s="524"/>
      <c r="F9" s="524"/>
      <c r="G9" s="525" t="s">
        <v>9</v>
      </c>
      <c r="H9" s="527" t="s">
        <v>10</v>
      </c>
      <c r="I9" s="10" t="s">
        <v>11</v>
      </c>
      <c r="J9" s="525" t="s">
        <v>12</v>
      </c>
      <c r="K9" s="370" t="s">
        <v>13</v>
      </c>
      <c r="L9" s="370" t="s">
        <v>14</v>
      </c>
      <c r="M9" s="370" t="s">
        <v>15</v>
      </c>
      <c r="N9" s="148"/>
      <c r="O9" s="148" t="s">
        <v>181</v>
      </c>
    </row>
    <row r="10" spans="1:17" ht="18.75" customHeight="1" x14ac:dyDescent="0.25">
      <c r="A10" s="370" t="s">
        <v>16</v>
      </c>
      <c r="B10" s="370" t="s">
        <v>17</v>
      </c>
      <c r="C10" s="11"/>
      <c r="D10" s="370" t="s">
        <v>18</v>
      </c>
      <c r="E10" s="370" t="s">
        <v>19</v>
      </c>
      <c r="F10" s="370" t="s">
        <v>20</v>
      </c>
      <c r="G10" s="526"/>
      <c r="H10" s="527"/>
      <c r="I10" s="10" t="s">
        <v>21</v>
      </c>
      <c r="J10" s="526"/>
      <c r="K10" s="370" t="s">
        <v>22</v>
      </c>
      <c r="L10" s="370" t="s">
        <v>23</v>
      </c>
      <c r="M10" s="370" t="s">
        <v>24</v>
      </c>
    </row>
    <row r="11" spans="1:17" s="18" customFormat="1" ht="29.25" customHeight="1" x14ac:dyDescent="0.25">
      <c r="A11" s="642" t="s">
        <v>420</v>
      </c>
      <c r="B11" s="382" t="s">
        <v>21</v>
      </c>
      <c r="C11" s="386">
        <f>+G11*100/J12</f>
        <v>56280</v>
      </c>
      <c r="D11" s="117">
        <f>+$G$11*D12/100</f>
        <v>51845.136000000006</v>
      </c>
      <c r="E11" s="117">
        <f>+$G$11*E12/100</f>
        <v>0</v>
      </c>
      <c r="F11" s="117">
        <f>+$G$11*F12/100</f>
        <v>3309.2640000000001</v>
      </c>
      <c r="G11" s="149">
        <f>+I11*H11</f>
        <v>55154.400000000001</v>
      </c>
      <c r="H11" s="17">
        <v>4</v>
      </c>
      <c r="I11" s="17">
        <f>21*0.5*1340*0.98</f>
        <v>13788.6</v>
      </c>
      <c r="J11" s="382"/>
      <c r="K11" s="531">
        <v>1126</v>
      </c>
      <c r="L11" s="532"/>
      <c r="M11" s="382"/>
      <c r="O11" s="19"/>
    </row>
    <row r="12" spans="1:17" s="18" customFormat="1" ht="29.25" customHeight="1" x14ac:dyDescent="0.25">
      <c r="A12" s="642"/>
      <c r="B12" s="382" t="s">
        <v>26</v>
      </c>
      <c r="C12" s="20"/>
      <c r="D12" s="21">
        <v>94</v>
      </c>
      <c r="E12" s="21">
        <v>0</v>
      </c>
      <c r="F12" s="21">
        <v>6</v>
      </c>
      <c r="G12" s="381">
        <v>100</v>
      </c>
      <c r="H12" s="22"/>
      <c r="I12" s="23"/>
      <c r="J12" s="13">
        <v>98</v>
      </c>
      <c r="K12" s="635">
        <v>2</v>
      </c>
      <c r="L12" s="636"/>
      <c r="M12" s="25">
        <v>100</v>
      </c>
      <c r="O12" s="19"/>
      <c r="P12" s="19">
        <f>10.6*418800</f>
        <v>4439280</v>
      </c>
    </row>
    <row r="13" spans="1:17" s="18" customFormat="1" ht="23.25" customHeight="1" x14ac:dyDescent="0.25">
      <c r="A13" s="642" t="s">
        <v>421</v>
      </c>
      <c r="B13" s="382" t="s">
        <v>21</v>
      </c>
      <c r="C13" s="151">
        <f>+G13*100/J14</f>
        <v>61898.993991743249</v>
      </c>
      <c r="D13" s="381">
        <v>60264</v>
      </c>
      <c r="E13" s="14">
        <v>0</v>
      </c>
      <c r="F13" s="152">
        <v>1204.5</v>
      </c>
      <c r="G13" s="381">
        <f>+D13+F13</f>
        <v>61468.5</v>
      </c>
      <c r="H13" s="153">
        <v>4</v>
      </c>
      <c r="I13" s="26">
        <f>+G13/H13</f>
        <v>15367.125</v>
      </c>
      <c r="J13" s="382"/>
      <c r="K13" s="152">
        <v>252</v>
      </c>
      <c r="L13" s="152">
        <v>175.5</v>
      </c>
      <c r="M13" s="382"/>
      <c r="N13" s="28"/>
      <c r="O13" s="19"/>
      <c r="P13" s="19">
        <f>+P12/10.9</f>
        <v>407273.39449541282</v>
      </c>
      <c r="Q13" s="28">
        <f>+C13+C19</f>
        <v>176497.94435665745</v>
      </c>
    </row>
    <row r="14" spans="1:17" s="18" customFormat="1" ht="23.25" customHeight="1" x14ac:dyDescent="0.25">
      <c r="A14" s="642"/>
      <c r="B14" s="382" t="s">
        <v>26</v>
      </c>
      <c r="C14" s="20"/>
      <c r="D14" s="21">
        <f>+D13/G13*100</f>
        <v>98.040459747675641</v>
      </c>
      <c r="E14" s="29">
        <f>+E13/G13*100</f>
        <v>0</v>
      </c>
      <c r="F14" s="29">
        <f>+F13/G13*100</f>
        <v>1.9595402523243612</v>
      </c>
      <c r="G14" s="381">
        <f t="shared" ref="G14" si="0">SUM(D14:F14)</f>
        <v>100</v>
      </c>
      <c r="H14" s="153"/>
      <c r="I14" s="23"/>
      <c r="J14" s="30">
        <f>100-K14</f>
        <v>99.304521828253499</v>
      </c>
      <c r="K14" s="648">
        <f>+(K13+L13)/G13*100</f>
        <v>0.69547817174650428</v>
      </c>
      <c r="L14" s="648"/>
      <c r="M14" s="31">
        <v>100</v>
      </c>
      <c r="O14" s="28"/>
      <c r="P14" s="18">
        <f>+P13*2390</f>
        <v>973383412.8440367</v>
      </c>
    </row>
    <row r="15" spans="1:17" s="18" customFormat="1" ht="23.25" customHeight="1" x14ac:dyDescent="0.25">
      <c r="A15" s="642" t="s">
        <v>423</v>
      </c>
      <c r="B15" s="382" t="s">
        <v>21</v>
      </c>
      <c r="C15" s="381">
        <f>+C13-C11</f>
        <v>5618.9939917432494</v>
      </c>
      <c r="D15" s="381">
        <f t="shared" ref="D15:F16" si="1">+D13-D11</f>
        <v>8418.8639999999941</v>
      </c>
      <c r="E15" s="381">
        <f t="shared" si="1"/>
        <v>0</v>
      </c>
      <c r="F15" s="381">
        <f t="shared" si="1"/>
        <v>-2104.7640000000001</v>
      </c>
      <c r="G15" s="381">
        <f>+G13-G11</f>
        <v>6314.0999999999985</v>
      </c>
      <c r="H15" s="22"/>
      <c r="I15" s="23"/>
      <c r="J15" s="13"/>
      <c r="K15" s="33"/>
      <c r="L15" s="33"/>
      <c r="M15" s="382"/>
      <c r="N15" s="34"/>
    </row>
    <row r="16" spans="1:17" s="18" customFormat="1" ht="23.25" customHeight="1" x14ac:dyDescent="0.25">
      <c r="A16" s="642"/>
      <c r="B16" s="382" t="s">
        <v>26</v>
      </c>
      <c r="C16" s="20"/>
      <c r="D16" s="35">
        <f>+D14-D12</f>
        <v>4.0404597476756408</v>
      </c>
      <c r="E16" s="35">
        <f t="shared" ref="E16:F16" si="2">+E14-E12</f>
        <v>0</v>
      </c>
      <c r="F16" s="35">
        <f>+F14-F12</f>
        <v>-4.040459747675639</v>
      </c>
      <c r="G16" s="23"/>
      <c r="H16" s="22"/>
      <c r="I16" s="23"/>
      <c r="J16" s="382"/>
      <c r="K16" s="33"/>
      <c r="L16" s="33"/>
      <c r="M16" s="382"/>
      <c r="N16" s="34">
        <f>97.5+1.29</f>
        <v>98.79</v>
      </c>
    </row>
    <row r="17" spans="1:16" s="18" customFormat="1" ht="20.25" customHeight="1" x14ac:dyDescent="0.25">
      <c r="A17" s="642" t="s">
        <v>422</v>
      </c>
      <c r="B17" s="382" t="s">
        <v>21</v>
      </c>
      <c r="C17" s="381">
        <f>+G17*100/J18</f>
        <v>113137.23076923077</v>
      </c>
      <c r="D17" s="387">
        <f t="shared" ref="D17" si="3">+$G$17*D18/100</f>
        <v>98174.832000000009</v>
      </c>
      <c r="E17" s="402">
        <f t="shared" ref="E17" si="4">+E15-E13</f>
        <v>0</v>
      </c>
      <c r="F17" s="387">
        <f>+$G$17*F18/100</f>
        <v>12133.968000000001</v>
      </c>
      <c r="G17" s="381">
        <f>+H17*I17</f>
        <v>110308.8</v>
      </c>
      <c r="H17" s="153">
        <v>8</v>
      </c>
      <c r="I17" s="23">
        <f>0.5*1340*21*0.98</f>
        <v>13788.6</v>
      </c>
      <c r="J17" s="13"/>
      <c r="K17" s="531">
        <v>4596</v>
      </c>
      <c r="L17" s="532"/>
      <c r="M17" s="382"/>
      <c r="N17" s="34"/>
      <c r="P17" s="18">
        <f>+P14/418800</f>
        <v>2324.2201834862385</v>
      </c>
    </row>
    <row r="18" spans="1:16" s="18" customFormat="1" ht="18.75" customHeight="1" x14ac:dyDescent="0.25">
      <c r="A18" s="642"/>
      <c r="B18" s="382" t="s">
        <v>26</v>
      </c>
      <c r="C18" s="20"/>
      <c r="D18" s="35">
        <v>89</v>
      </c>
      <c r="E18" s="402">
        <f t="shared" ref="E18" si="5">+E16-E14</f>
        <v>0</v>
      </c>
      <c r="F18" s="37">
        <v>11</v>
      </c>
      <c r="G18" s="23">
        <v>0</v>
      </c>
      <c r="H18" s="153"/>
      <c r="I18" s="23"/>
      <c r="J18" s="382">
        <v>97.5</v>
      </c>
      <c r="K18" s="531">
        <v>2.5</v>
      </c>
      <c r="L18" s="532"/>
      <c r="M18" s="382">
        <f>+K18+J18</f>
        <v>100</v>
      </c>
      <c r="N18" s="34">
        <f>97.5+1.29</f>
        <v>98.79</v>
      </c>
      <c r="P18" s="395">
        <f>+G13+G19</f>
        <v>174246</v>
      </c>
    </row>
    <row r="19" spans="1:16" ht="21.75" customHeight="1" x14ac:dyDescent="0.25">
      <c r="A19" s="642" t="s">
        <v>425</v>
      </c>
      <c r="B19" s="25" t="s">
        <v>21</v>
      </c>
      <c r="C19" s="121">
        <f>+G19*100/J20</f>
        <v>114598.95036491418</v>
      </c>
      <c r="D19" s="117">
        <v>107878.5</v>
      </c>
      <c r="E19" s="402">
        <f t="shared" ref="E19" si="6">+E17-E15</f>
        <v>0</v>
      </c>
      <c r="F19" s="117">
        <v>4899</v>
      </c>
      <c r="G19" s="118">
        <f>+D19+F19</f>
        <v>112777.5</v>
      </c>
      <c r="H19" s="17">
        <v>8</v>
      </c>
      <c r="I19" s="404">
        <f>+G19/H19</f>
        <v>14097.1875</v>
      </c>
      <c r="J19" s="119"/>
      <c r="K19" s="67">
        <v>553.5</v>
      </c>
      <c r="L19" s="67">
        <v>1239</v>
      </c>
      <c r="M19" s="119"/>
    </row>
    <row r="20" spans="1:16" ht="21.75" customHeight="1" x14ac:dyDescent="0.25">
      <c r="A20" s="642"/>
      <c r="B20" s="25" t="s">
        <v>26</v>
      </c>
      <c r="C20" s="121"/>
      <c r="D20" s="21">
        <f>+D19/$G$19*100</f>
        <v>95.656048413912359</v>
      </c>
      <c r="E20" s="402">
        <f t="shared" ref="E20" si="7">+E18-E16</f>
        <v>0</v>
      </c>
      <c r="F20" s="21">
        <f t="shared" ref="F20" si="8">+F19/$G$19*100</f>
        <v>4.343951586087651</v>
      </c>
      <c r="G20" s="21">
        <f>+D20+E20+F20</f>
        <v>100.00000000000001</v>
      </c>
      <c r="H20" s="123"/>
      <c r="I20" s="123"/>
      <c r="J20" s="374">
        <f>100-K20</f>
        <v>98.410587218195118</v>
      </c>
      <c r="K20" s="629">
        <f>+(K19+L19)/G19*100</f>
        <v>1.5894127818048813</v>
      </c>
      <c r="L20" s="629"/>
      <c r="M20" s="25">
        <v>48</v>
      </c>
    </row>
    <row r="21" spans="1:16" s="18" customFormat="1" ht="23.25" customHeight="1" x14ac:dyDescent="0.25">
      <c r="A21" s="642" t="s">
        <v>424</v>
      </c>
      <c r="B21" s="382" t="s">
        <v>21</v>
      </c>
      <c r="C21" s="381">
        <f>+C19-C17</f>
        <v>1461.7195956834184</v>
      </c>
      <c r="D21" s="385">
        <f t="shared" ref="D21:G21" si="9">+D19-D17</f>
        <v>9703.6679999999906</v>
      </c>
      <c r="E21" s="402">
        <f t="shared" si="9"/>
        <v>0</v>
      </c>
      <c r="F21" s="385">
        <f t="shared" si="9"/>
        <v>-7234.9680000000008</v>
      </c>
      <c r="G21" s="385">
        <f t="shared" si="9"/>
        <v>2468.6999999999971</v>
      </c>
      <c r="H21" s="153"/>
      <c r="I21" s="23"/>
      <c r="J21" s="13"/>
      <c r="K21" s="33"/>
      <c r="L21" s="33"/>
      <c r="M21" s="393"/>
      <c r="N21" s="34"/>
    </row>
    <row r="22" spans="1:16" s="18" customFormat="1" ht="23.25" customHeight="1" x14ac:dyDescent="0.25">
      <c r="A22" s="642"/>
      <c r="B22" s="382" t="s">
        <v>26</v>
      </c>
      <c r="C22" s="20"/>
      <c r="D22" s="35">
        <f>+D20-D18</f>
        <v>6.6560484139123588</v>
      </c>
      <c r="E22" s="402">
        <f t="shared" ref="E22" si="10">+E20-E18</f>
        <v>0</v>
      </c>
      <c r="F22" s="35">
        <f>+F20-F18</f>
        <v>-6.656048413912349</v>
      </c>
      <c r="G22" s="23">
        <v>0</v>
      </c>
      <c r="H22" s="153"/>
      <c r="I22" s="23"/>
      <c r="J22" s="382"/>
      <c r="K22" s="33"/>
      <c r="L22" s="33"/>
      <c r="M22" s="393"/>
      <c r="N22" s="34">
        <f>97.5+1.29</f>
        <v>98.79</v>
      </c>
    </row>
    <row r="23" spans="1:16" ht="16.5" customHeight="1" x14ac:dyDescent="0.25">
      <c r="A23" s="642" t="s">
        <v>169</v>
      </c>
      <c r="B23" s="25" t="s">
        <v>21</v>
      </c>
      <c r="C23" s="121">
        <f>+G23*100/J24</f>
        <v>263692.80000000005</v>
      </c>
      <c r="D23" s="117">
        <f>+G23*D24/100</f>
        <v>232577.0496</v>
      </c>
      <c r="E23" s="402">
        <f t="shared" ref="E23" si="11">+E21-E19</f>
        <v>0</v>
      </c>
      <c r="F23" s="117">
        <f>+G23*F24/100</f>
        <v>25841.894400000005</v>
      </c>
      <c r="G23" s="117">
        <f>+I23*H23</f>
        <v>258418.94400000002</v>
      </c>
      <c r="H23" s="17">
        <v>18</v>
      </c>
      <c r="I23" s="17">
        <f>10.9*0.96*1400*0.98</f>
        <v>14356.608</v>
      </c>
      <c r="J23" s="119"/>
      <c r="K23" s="600">
        <v>3809</v>
      </c>
      <c r="L23" s="602"/>
      <c r="M23" s="396"/>
    </row>
    <row r="24" spans="1:16" ht="16.5" customHeight="1" x14ac:dyDescent="0.25">
      <c r="A24" s="642"/>
      <c r="B24" s="25" t="s">
        <v>26</v>
      </c>
      <c r="C24" s="121"/>
      <c r="D24" s="21">
        <v>90</v>
      </c>
      <c r="E24" s="402">
        <f t="shared" ref="E24" si="12">+E22-E20</f>
        <v>0</v>
      </c>
      <c r="F24" s="21">
        <v>10</v>
      </c>
      <c r="G24" s="21">
        <v>100</v>
      </c>
      <c r="H24" s="122"/>
      <c r="I24" s="123"/>
      <c r="J24" s="374">
        <v>98</v>
      </c>
      <c r="K24" s="629">
        <f>100-J24</f>
        <v>2</v>
      </c>
      <c r="L24" s="629"/>
      <c r="M24" s="25">
        <v>40</v>
      </c>
    </row>
    <row r="25" spans="1:16" s="18" customFormat="1" ht="18" customHeight="1" x14ac:dyDescent="0.25">
      <c r="A25" s="642" t="s">
        <v>302</v>
      </c>
      <c r="B25" s="382" t="s">
        <v>21</v>
      </c>
      <c r="C25" s="151">
        <f>+G25*100/J26</f>
        <v>273289.10616182466</v>
      </c>
      <c r="D25" s="381">
        <v>252729.59999999998</v>
      </c>
      <c r="E25" s="402">
        <f t="shared" ref="E25" si="13">+E23-E21</f>
        <v>0</v>
      </c>
      <c r="F25" s="152">
        <v>17681.599999999999</v>
      </c>
      <c r="G25" s="381">
        <f>+F25+D25</f>
        <v>270411.19999999995</v>
      </c>
      <c r="H25" s="153">
        <v>18</v>
      </c>
      <c r="I25" s="26">
        <f>+G25/H25</f>
        <v>15022.844444444441</v>
      </c>
      <c r="J25" s="155"/>
      <c r="K25" s="152">
        <v>1203.8</v>
      </c>
      <c r="L25" s="156">
        <v>1643.8000000000002</v>
      </c>
      <c r="M25" s="382"/>
      <c r="N25" s="28"/>
      <c r="O25" s="19"/>
      <c r="P25" s="19"/>
    </row>
    <row r="26" spans="1:16" s="18" customFormat="1" ht="20.25" customHeight="1" x14ac:dyDescent="0.25">
      <c r="A26" s="642"/>
      <c r="B26" s="382" t="s">
        <v>26</v>
      </c>
      <c r="C26" s="20"/>
      <c r="D26" s="21">
        <f>+D25/G25*100</f>
        <v>93.461217582703682</v>
      </c>
      <c r="E26" s="402">
        <f t="shared" ref="E26" si="14">+E24-E22</f>
        <v>0</v>
      </c>
      <c r="F26" s="29">
        <f>+F25/G25*100</f>
        <v>6.5387824172963249</v>
      </c>
      <c r="G26" s="381">
        <f t="shared" ref="G26" si="15">SUM(D26:F26)</f>
        <v>100</v>
      </c>
      <c r="H26" s="22"/>
      <c r="I26" s="23"/>
      <c r="J26" s="30">
        <f>100-K26</f>
        <v>98.946937109113819</v>
      </c>
      <c r="K26" s="648">
        <f>+(K25+L25)/G25*100</f>
        <v>1.0530628908861766</v>
      </c>
      <c r="L26" s="648"/>
      <c r="M26" s="31">
        <v>13</v>
      </c>
      <c r="O26" s="28"/>
    </row>
    <row r="27" spans="1:16" s="18" customFormat="1" ht="15.75" customHeight="1" x14ac:dyDescent="0.25">
      <c r="A27" s="642" t="s">
        <v>171</v>
      </c>
      <c r="B27" s="382" t="s">
        <v>21</v>
      </c>
      <c r="C27" s="381">
        <f>+C25-C23</f>
        <v>9596.3061618246138</v>
      </c>
      <c r="D27" s="392">
        <f t="shared" ref="D27:F27" si="16">+D25-D23</f>
        <v>20152.550399999978</v>
      </c>
      <c r="E27" s="392">
        <f t="shared" si="16"/>
        <v>0</v>
      </c>
      <c r="F27" s="392">
        <f t="shared" si="16"/>
        <v>-8160.2944000000061</v>
      </c>
      <c r="G27" s="381">
        <f>+D27+F27</f>
        <v>11992.255999999972</v>
      </c>
      <c r="H27" s="22"/>
      <c r="I27" s="23"/>
      <c r="J27" s="13"/>
      <c r="K27" s="33"/>
      <c r="L27" s="33"/>
      <c r="M27" s="382"/>
      <c r="N27" s="34"/>
    </row>
    <row r="28" spans="1:16" s="18" customFormat="1" ht="15.75" customHeight="1" x14ac:dyDescent="0.25">
      <c r="A28" s="642"/>
      <c r="B28" s="382" t="s">
        <v>26</v>
      </c>
      <c r="C28" s="20"/>
      <c r="D28" s="35">
        <f>+D26-D24</f>
        <v>3.4612175827036822</v>
      </c>
      <c r="E28" s="35">
        <f>+E26-E20</f>
        <v>0</v>
      </c>
      <c r="F28" s="35">
        <f>+F26-F24</f>
        <v>-3.4612175827036751</v>
      </c>
      <c r="G28" s="23"/>
      <c r="H28" s="22"/>
      <c r="I28" s="23"/>
      <c r="J28" s="382"/>
      <c r="K28" s="33"/>
      <c r="L28" s="33"/>
      <c r="M28" s="382"/>
      <c r="N28" s="34">
        <f>97.5+1.29</f>
        <v>98.79</v>
      </c>
    </row>
    <row r="29" spans="1:16" ht="14.25" customHeight="1" x14ac:dyDescent="0.25">
      <c r="A29" s="693" t="s">
        <v>426</v>
      </c>
      <c r="B29" s="693"/>
      <c r="C29" s="693"/>
      <c r="D29" s="693"/>
      <c r="E29" s="693"/>
      <c r="F29" s="7"/>
      <c r="G29" s="7"/>
      <c r="J29" s="7"/>
      <c r="K29" s="7"/>
      <c r="L29" s="7"/>
      <c r="M29" s="7"/>
    </row>
    <row r="30" spans="1:16" ht="13.5" customHeight="1" x14ac:dyDescent="0.25">
      <c r="A30" s="1" t="s">
        <v>30</v>
      </c>
      <c r="B30" s="7"/>
      <c r="C30" s="7"/>
      <c r="D30" s="7"/>
      <c r="E30" s="7"/>
      <c r="F30" s="7"/>
      <c r="G30" s="7"/>
      <c r="J30" s="7"/>
      <c r="K30" s="7"/>
      <c r="L30" s="7"/>
      <c r="M30" s="7"/>
    </row>
    <row r="31" spans="1:16" ht="16.5" customHeight="1" x14ac:dyDescent="0.25">
      <c r="A31" s="694" t="s">
        <v>427</v>
      </c>
      <c r="B31" s="694"/>
      <c r="C31" s="694"/>
      <c r="D31" s="7"/>
      <c r="E31" s="7"/>
      <c r="F31" s="7"/>
      <c r="G31" s="7"/>
      <c r="J31" s="7"/>
      <c r="K31" s="7"/>
      <c r="L31" s="7"/>
      <c r="M31" s="7"/>
    </row>
    <row r="32" spans="1:16" s="38" customFormat="1" ht="14.25" customHeight="1" x14ac:dyDescent="0.25">
      <c r="A32" s="524" t="s">
        <v>32</v>
      </c>
      <c r="B32" s="542" t="s">
        <v>33</v>
      </c>
      <c r="C32" s="542"/>
      <c r="D32" s="542"/>
      <c r="E32" s="542"/>
      <c r="F32" s="542"/>
      <c r="G32" s="542"/>
      <c r="H32" s="542"/>
      <c r="I32" s="542"/>
      <c r="J32" s="543" t="s">
        <v>34</v>
      </c>
      <c r="K32" s="544"/>
      <c r="L32" s="524" t="s">
        <v>35</v>
      </c>
      <c r="M32" s="524"/>
      <c r="O32" s="316" t="s">
        <v>181</v>
      </c>
    </row>
    <row r="33" spans="1:15" s="38" customFormat="1" ht="12.75" customHeight="1" x14ac:dyDescent="0.25">
      <c r="A33" s="524"/>
      <c r="B33" s="528" t="s">
        <v>18</v>
      </c>
      <c r="C33" s="529"/>
      <c r="D33" s="528" t="s">
        <v>19</v>
      </c>
      <c r="E33" s="529"/>
      <c r="F33" s="528" t="s">
        <v>20</v>
      </c>
      <c r="G33" s="529"/>
      <c r="H33" s="528" t="s">
        <v>36</v>
      </c>
      <c r="I33" s="529"/>
      <c r="J33" s="545"/>
      <c r="K33" s="546"/>
      <c r="L33" s="524"/>
      <c r="M33" s="524"/>
    </row>
    <row r="34" spans="1:15" s="38" customFormat="1" ht="15.75" customHeight="1" x14ac:dyDescent="0.25">
      <c r="A34" s="637" t="s">
        <v>38</v>
      </c>
      <c r="B34" s="536">
        <v>4509</v>
      </c>
      <c r="C34" s="537"/>
      <c r="D34" s="536"/>
      <c r="E34" s="537"/>
      <c r="F34" s="536">
        <v>774</v>
      </c>
      <c r="G34" s="537"/>
      <c r="H34" s="538">
        <f>+B34+D34+F34</f>
        <v>5283</v>
      </c>
      <c r="I34" s="539"/>
      <c r="J34" s="540"/>
      <c r="K34" s="541"/>
      <c r="L34" s="564"/>
      <c r="M34" s="565"/>
    </row>
    <row r="35" spans="1:15" s="38" customFormat="1" ht="15.75" customHeight="1" x14ac:dyDescent="0.25">
      <c r="A35" s="637"/>
      <c r="B35" s="695">
        <f>+B34/$H$34*100</f>
        <v>85.349233390119252</v>
      </c>
      <c r="C35" s="696" t="e">
        <f>+C34/C42*100</f>
        <v>#REF!</v>
      </c>
      <c r="D35" s="550">
        <f t="shared" ref="D35" si="17">+D34/$H$34*100</f>
        <v>0</v>
      </c>
      <c r="E35" s="551" t="e">
        <f>+E34/E42*100</f>
        <v>#REF!</v>
      </c>
      <c r="F35" s="550">
        <f t="shared" ref="F35" si="18">+F34/$H$34*100</f>
        <v>14.650766609880749</v>
      </c>
      <c r="G35" s="551" t="e">
        <f>+G34/G42*100</f>
        <v>#REF!</v>
      </c>
      <c r="H35" s="550">
        <f>+H34/$H$34*100</f>
        <v>100</v>
      </c>
      <c r="I35" s="551" t="e">
        <f>+I34/I42*100</f>
        <v>#REF!</v>
      </c>
      <c r="J35" s="549">
        <f>+H34/$H$42*100</f>
        <v>8.5946460382146963</v>
      </c>
      <c r="K35" s="541"/>
      <c r="L35" s="566"/>
      <c r="M35" s="567"/>
    </row>
    <row r="36" spans="1:15" s="38" customFormat="1" ht="15.75" customHeight="1" x14ac:dyDescent="0.25">
      <c r="A36" s="637" t="s">
        <v>40</v>
      </c>
      <c r="B36" s="536">
        <v>5017.5</v>
      </c>
      <c r="C36" s="537"/>
      <c r="D36" s="536"/>
      <c r="E36" s="537"/>
      <c r="F36" s="536">
        <v>16.5</v>
      </c>
      <c r="G36" s="537"/>
      <c r="H36" s="547">
        <f>+B36+D36+F36</f>
        <v>5034</v>
      </c>
      <c r="I36" s="548"/>
      <c r="J36" s="549"/>
      <c r="K36" s="541"/>
      <c r="L36" s="566"/>
      <c r="M36" s="567"/>
    </row>
    <row r="37" spans="1:15" s="38" customFormat="1" ht="15.75" customHeight="1" x14ac:dyDescent="0.25">
      <c r="A37" s="637"/>
      <c r="B37" s="550">
        <f>+B36/$H$36*100</f>
        <v>99.672228843861745</v>
      </c>
      <c r="C37" s="551" t="e">
        <f>+C36/#REF!*100</f>
        <v>#REF!</v>
      </c>
      <c r="D37" s="550">
        <f t="shared" ref="D37" si="19">+D36/$H$36*100</f>
        <v>0</v>
      </c>
      <c r="E37" s="551" t="e">
        <f>+E36/#REF!*100</f>
        <v>#REF!</v>
      </c>
      <c r="F37" s="550">
        <f t="shared" ref="F37" si="20">+F36/$H$36*100</f>
        <v>0.32777115613825986</v>
      </c>
      <c r="G37" s="551" t="e">
        <f>+G36/#REF!*100</f>
        <v>#REF!</v>
      </c>
      <c r="H37" s="550">
        <f t="shared" ref="H37" si="21">+H36/$H$36*100</f>
        <v>100</v>
      </c>
      <c r="I37" s="551" t="e">
        <f>+I36/#REF!*100</f>
        <v>#REF!</v>
      </c>
      <c r="J37" s="549">
        <f>+H36/$H$42*100</f>
        <v>8.1895605066009409</v>
      </c>
      <c r="K37" s="541"/>
      <c r="L37" s="566"/>
      <c r="M37" s="567"/>
    </row>
    <row r="38" spans="1:15" s="38" customFormat="1" ht="16.5" customHeight="1" x14ac:dyDescent="0.25">
      <c r="A38" s="637" t="s">
        <v>37</v>
      </c>
      <c r="B38" s="536">
        <v>24255</v>
      </c>
      <c r="C38" s="537"/>
      <c r="D38" s="536"/>
      <c r="E38" s="537"/>
      <c r="F38" s="536">
        <v>210</v>
      </c>
      <c r="G38" s="537"/>
      <c r="H38" s="547">
        <f>+B38+D38+F38</f>
        <v>24465</v>
      </c>
      <c r="I38" s="548"/>
      <c r="J38" s="549"/>
      <c r="K38" s="541"/>
      <c r="L38" s="566"/>
      <c r="M38" s="567"/>
    </row>
    <row r="39" spans="1:15" s="38" customFormat="1" ht="16.5" customHeight="1" x14ac:dyDescent="0.25">
      <c r="A39" s="637"/>
      <c r="B39" s="550">
        <f>+B38/$H$38*100</f>
        <v>99.141630901287556</v>
      </c>
      <c r="C39" s="551" t="e">
        <f>+C38/#REF!*100</f>
        <v>#REF!</v>
      </c>
      <c r="D39" s="550">
        <f t="shared" ref="D39" si="22">+D38/$H$38*100</f>
        <v>0</v>
      </c>
      <c r="E39" s="551" t="e">
        <f>+E38/#REF!*100</f>
        <v>#REF!</v>
      </c>
      <c r="F39" s="550">
        <f t="shared" ref="F39" si="23">+F38/$H$38*100</f>
        <v>0.85836909871244638</v>
      </c>
      <c r="G39" s="551" t="e">
        <f>+G38/#REF!*100</f>
        <v>#REF!</v>
      </c>
      <c r="H39" s="550">
        <f>+H38/H38*100</f>
        <v>100</v>
      </c>
      <c r="I39" s="551" t="e">
        <f>+I38/#REF!*100</f>
        <v>#REF!</v>
      </c>
      <c r="J39" s="549">
        <f>+H38/$H$42*100</f>
        <v>39.800873618194686</v>
      </c>
      <c r="K39" s="541"/>
      <c r="L39" s="566"/>
      <c r="M39" s="567"/>
    </row>
    <row r="40" spans="1:15" s="38" customFormat="1" ht="15" customHeight="1" x14ac:dyDescent="0.25">
      <c r="A40" s="644" t="s">
        <v>41</v>
      </c>
      <c r="B40" s="536">
        <v>26482.5</v>
      </c>
      <c r="C40" s="537"/>
      <c r="D40" s="536"/>
      <c r="E40" s="537"/>
      <c r="F40" s="536">
        <v>204</v>
      </c>
      <c r="G40" s="537"/>
      <c r="H40" s="547">
        <f>+B40+D40+F40</f>
        <v>26686.5</v>
      </c>
      <c r="I40" s="548"/>
      <c r="J40" s="549"/>
      <c r="K40" s="541"/>
      <c r="L40" s="566"/>
      <c r="M40" s="567"/>
    </row>
    <row r="41" spans="1:15" s="38" customFormat="1" ht="15" customHeight="1" x14ac:dyDescent="0.25">
      <c r="A41" s="645"/>
      <c r="B41" s="554">
        <f>+B40/$H$40*100</f>
        <v>99.235568545893997</v>
      </c>
      <c r="C41" s="555" t="e">
        <f>+C40/#REF!*100</f>
        <v>#REF!</v>
      </c>
      <c r="D41" s="554">
        <f t="shared" ref="D41" si="24">+D40/$H$40*100</f>
        <v>0</v>
      </c>
      <c r="E41" s="555" t="e">
        <f>+E40/#REF!*100</f>
        <v>#REF!</v>
      </c>
      <c r="F41" s="554">
        <f t="shared" ref="F41" si="25">+F40/$H$40*100</f>
        <v>0.76443145410600866</v>
      </c>
      <c r="G41" s="555" t="e">
        <f>+G40/#REF!*100</f>
        <v>#REF!</v>
      </c>
      <c r="H41" s="554">
        <f t="shared" ref="H41" si="26">+H40/$H$40*100</f>
        <v>100</v>
      </c>
      <c r="I41" s="555" t="e">
        <f>+I40/#REF!*100</f>
        <v>#REF!</v>
      </c>
      <c r="J41" s="549">
        <f>+H40/$H$42*100</f>
        <v>43.414919836989682</v>
      </c>
      <c r="K41" s="541"/>
      <c r="L41" s="566"/>
      <c r="M41" s="567"/>
    </row>
    <row r="42" spans="1:15" s="38" customFormat="1" ht="16.5" customHeight="1" x14ac:dyDescent="0.25">
      <c r="A42" s="524" t="s">
        <v>43</v>
      </c>
      <c r="B42" s="697">
        <f>+B34+B36+B38+B40</f>
        <v>60264</v>
      </c>
      <c r="C42" s="698" t="e">
        <f>+#REF!+#REF!+#REF!+#REF!+#REF!+#REF!+C34</f>
        <v>#REF!</v>
      </c>
      <c r="D42" s="697">
        <f t="shared" ref="D42" si="27">+D34+D36+D38+D40</f>
        <v>0</v>
      </c>
      <c r="E42" s="698" t="e">
        <f>+#REF!+#REF!+#REF!+#REF!+#REF!+#REF!+E34</f>
        <v>#REF!</v>
      </c>
      <c r="F42" s="697">
        <f t="shared" ref="F42" si="28">+F34+F36+F38+F40</f>
        <v>1204.5</v>
      </c>
      <c r="G42" s="698" t="e">
        <f>+#REF!+#REF!+#REF!+#REF!+#REF!+#REF!+G34</f>
        <v>#REF!</v>
      </c>
      <c r="H42" s="697">
        <f t="shared" ref="H42" si="29">+H34+H36+H38+H40</f>
        <v>61468.5</v>
      </c>
      <c r="I42" s="698" t="e">
        <f>+#REF!+#REF!+#REF!+#REF!+#REF!+#REF!+I34</f>
        <v>#REF!</v>
      </c>
      <c r="J42" s="549"/>
      <c r="K42" s="541"/>
      <c r="L42" s="566"/>
      <c r="M42" s="567"/>
    </row>
    <row r="43" spans="1:15" s="38" customFormat="1" ht="16.5" customHeight="1" x14ac:dyDescent="0.25">
      <c r="A43" s="524"/>
      <c r="B43" s="653">
        <f>+B42/$H$42*100</f>
        <v>98.040459747675641</v>
      </c>
      <c r="C43" s="654" t="e">
        <f>+C35+#REF!+#REF!+#REF!+#REF!+#REF!</f>
        <v>#REF!</v>
      </c>
      <c r="D43" s="550">
        <f t="shared" ref="D43" si="30">+D42/$H$42*100</f>
        <v>0</v>
      </c>
      <c r="E43" s="551" t="e">
        <f>+E35+#REF!+#REF!+#REF!+#REF!+#REF!</f>
        <v>#REF!</v>
      </c>
      <c r="F43" s="550">
        <f t="shared" ref="F43" si="31">+F42/$H$42*100</f>
        <v>1.9595402523243612</v>
      </c>
      <c r="G43" s="551" t="e">
        <f>+G35+#REF!+#REF!+#REF!+#REF!+#REF!</f>
        <v>#REF!</v>
      </c>
      <c r="H43" s="550">
        <f>+H42/$H$42*100</f>
        <v>100</v>
      </c>
      <c r="I43" s="551" t="e">
        <f>+I35+#REF!+#REF!+#REF!+#REF!+#REF!</f>
        <v>#REF!</v>
      </c>
      <c r="J43" s="549">
        <f>+H42/$H$42*100</f>
        <v>100</v>
      </c>
      <c r="K43" s="541"/>
      <c r="L43" s="568"/>
      <c r="M43" s="569"/>
    </row>
    <row r="44" spans="1:15" ht="16.5" customHeight="1" x14ac:dyDescent="0.25">
      <c r="A44" s="694" t="s">
        <v>428</v>
      </c>
      <c r="B44" s="694"/>
      <c r="C44" s="694"/>
      <c r="D44" s="7"/>
      <c r="E44" s="7"/>
      <c r="F44" s="7"/>
      <c r="G44" s="7"/>
      <c r="J44" s="7"/>
      <c r="K44" s="7"/>
      <c r="L44" s="7"/>
      <c r="M44" s="7"/>
    </row>
    <row r="45" spans="1:15" s="38" customFormat="1" ht="14.25" customHeight="1" x14ac:dyDescent="0.25">
      <c r="A45" s="524" t="s">
        <v>32</v>
      </c>
      <c r="B45" s="542" t="s">
        <v>33</v>
      </c>
      <c r="C45" s="542"/>
      <c r="D45" s="542"/>
      <c r="E45" s="542"/>
      <c r="F45" s="542"/>
      <c r="G45" s="542"/>
      <c r="H45" s="542"/>
      <c r="I45" s="542"/>
      <c r="J45" s="543" t="s">
        <v>34</v>
      </c>
      <c r="K45" s="544"/>
      <c r="L45" s="524" t="s">
        <v>35</v>
      </c>
      <c r="M45" s="524"/>
      <c r="O45" s="316" t="s">
        <v>181</v>
      </c>
    </row>
    <row r="46" spans="1:15" s="38" customFormat="1" ht="12.75" customHeight="1" x14ac:dyDescent="0.25">
      <c r="A46" s="524"/>
      <c r="B46" s="528" t="s">
        <v>18</v>
      </c>
      <c r="C46" s="529"/>
      <c r="D46" s="528" t="s">
        <v>19</v>
      </c>
      <c r="E46" s="529"/>
      <c r="F46" s="528" t="s">
        <v>20</v>
      </c>
      <c r="G46" s="529"/>
      <c r="H46" s="528" t="s">
        <v>36</v>
      </c>
      <c r="I46" s="529"/>
      <c r="J46" s="545"/>
      <c r="K46" s="546"/>
      <c r="L46" s="524"/>
      <c r="M46" s="524"/>
    </row>
    <row r="47" spans="1:15" s="38" customFormat="1" ht="15.75" customHeight="1" x14ac:dyDescent="0.25">
      <c r="A47" s="651" t="s">
        <v>39</v>
      </c>
      <c r="B47" s="536">
        <v>9087</v>
      </c>
      <c r="C47" s="537"/>
      <c r="D47" s="536"/>
      <c r="E47" s="537"/>
      <c r="F47" s="536">
        <v>231</v>
      </c>
      <c r="G47" s="537"/>
      <c r="H47" s="538">
        <f>+B47+D47+F47</f>
        <v>9318</v>
      </c>
      <c r="I47" s="539"/>
      <c r="J47" s="540"/>
      <c r="K47" s="541"/>
      <c r="L47" s="564"/>
      <c r="M47" s="565"/>
    </row>
    <row r="48" spans="1:15" s="38" customFormat="1" ht="15.75" customHeight="1" x14ac:dyDescent="0.25">
      <c r="A48" s="652"/>
      <c r="B48" s="550">
        <f>+B47/$H$47*100</f>
        <v>97.520927237604639</v>
      </c>
      <c r="C48" s="551" t="e">
        <f>+C47/C87*100</f>
        <v>#DIV/0!</v>
      </c>
      <c r="D48" s="550">
        <f t="shared" ref="D48" si="32">+D47/$H$47*100</f>
        <v>0</v>
      </c>
      <c r="E48" s="551" t="e">
        <f t="shared" ref="E48" si="33">+E47/E87*100</f>
        <v>#VALUE!</v>
      </c>
      <c r="F48" s="550">
        <f t="shared" ref="F48" si="34">+F47/$H$47*100</f>
        <v>2.4790727623953637</v>
      </c>
      <c r="G48" s="551" t="e">
        <f t="shared" ref="G48" si="35">+G47/G87*100</f>
        <v>#VALUE!</v>
      </c>
      <c r="H48" s="550">
        <f t="shared" ref="H48" si="36">+H47/$H$47*100</f>
        <v>100</v>
      </c>
      <c r="I48" s="551" t="e">
        <f t="shared" ref="I48" si="37">+I47/I87*100</f>
        <v>#VALUE!</v>
      </c>
      <c r="J48" s="550">
        <f>+H47/$H$57*100</f>
        <v>8.2622863603112329</v>
      </c>
      <c r="K48" s="551" t="e">
        <f t="shared" ref="K48" si="38">+K47/K87*100</f>
        <v>#VALUE!</v>
      </c>
      <c r="L48" s="566"/>
      <c r="M48" s="567"/>
      <c r="O48" s="168">
        <f>+H42+H57</f>
        <v>174246</v>
      </c>
    </row>
    <row r="49" spans="1:19" s="38" customFormat="1" ht="15.75" customHeight="1" x14ac:dyDescent="0.25">
      <c r="A49" s="637" t="s">
        <v>38</v>
      </c>
      <c r="B49" s="536">
        <v>13858.5</v>
      </c>
      <c r="C49" s="537"/>
      <c r="D49" s="536"/>
      <c r="E49" s="537"/>
      <c r="F49" s="536">
        <v>781.5</v>
      </c>
      <c r="G49" s="537"/>
      <c r="H49" s="547">
        <f>+B49+D49+F49</f>
        <v>14640</v>
      </c>
      <c r="I49" s="548"/>
      <c r="J49" s="550"/>
      <c r="K49" s="551"/>
      <c r="L49" s="566"/>
      <c r="M49" s="567"/>
    </row>
    <row r="50" spans="1:19" s="38" customFormat="1" ht="15.75" customHeight="1" x14ac:dyDescent="0.25">
      <c r="A50" s="637"/>
      <c r="B50" s="653">
        <f>+B49/$H$49*100</f>
        <v>94.661885245901644</v>
      </c>
      <c r="C50" s="654" t="e">
        <f>+C49/C57*100</f>
        <v>#DIV/0!</v>
      </c>
      <c r="D50" s="653"/>
      <c r="E50" s="654"/>
      <c r="F50" s="653">
        <f t="shared" ref="F50" si="39">+F49/$H$49*100</f>
        <v>5.3381147540983607</v>
      </c>
      <c r="G50" s="654" t="e">
        <f t="shared" ref="G50" si="40">+G49/G57*100</f>
        <v>#DIV/0!</v>
      </c>
      <c r="H50" s="653">
        <f t="shared" ref="H50" si="41">+H49/$H$49*100</f>
        <v>100</v>
      </c>
      <c r="I50" s="654" t="e">
        <f t="shared" ref="I50" si="42">+I49/I57*100</f>
        <v>#DIV/0!</v>
      </c>
      <c r="J50" s="550">
        <f>+H49/$H$57*100</f>
        <v>12.981312761854094</v>
      </c>
      <c r="K50" s="551" t="e">
        <f>+K49/K89*100</f>
        <v>#DIV/0!</v>
      </c>
      <c r="L50" s="566"/>
      <c r="M50" s="567"/>
    </row>
    <row r="51" spans="1:19" s="38" customFormat="1" ht="16.5" customHeight="1" x14ac:dyDescent="0.25">
      <c r="A51" s="655" t="s">
        <v>40</v>
      </c>
      <c r="B51" s="536">
        <v>19188</v>
      </c>
      <c r="C51" s="537"/>
      <c r="D51" s="536"/>
      <c r="E51" s="537"/>
      <c r="F51" s="536">
        <v>847.5</v>
      </c>
      <c r="G51" s="537"/>
      <c r="H51" s="547">
        <f>+B51+D51+F51</f>
        <v>20035.5</v>
      </c>
      <c r="I51" s="548"/>
      <c r="J51" s="550"/>
      <c r="K51" s="551"/>
      <c r="L51" s="566"/>
      <c r="M51" s="567"/>
      <c r="S51" s="38">
        <f>21/8</f>
        <v>2.625</v>
      </c>
    </row>
    <row r="52" spans="1:19" s="38" customFormat="1" ht="16.5" customHeight="1" x14ac:dyDescent="0.25">
      <c r="A52" s="656"/>
      <c r="B52" s="550">
        <f>+B51/$H$51*100</f>
        <v>95.770008235382193</v>
      </c>
      <c r="C52" s="551" t="e">
        <f>+C51/C59*100</f>
        <v>#DIV/0!</v>
      </c>
      <c r="D52" s="550">
        <f t="shared" ref="D52" si="43">+D51/$H$51*100</f>
        <v>0</v>
      </c>
      <c r="E52" s="551" t="e">
        <f t="shared" ref="E52" si="44">+E51/E59*100</f>
        <v>#DIV/0!</v>
      </c>
      <c r="F52" s="550">
        <f t="shared" ref="F52" si="45">+F51/$H$51*100</f>
        <v>4.2299917646178038</v>
      </c>
      <c r="G52" s="551" t="e">
        <f t="shared" ref="G52" si="46">+G51/G59*100</f>
        <v>#DIV/0!</v>
      </c>
      <c r="H52" s="550">
        <f t="shared" ref="H52" si="47">+H51/$H$51*100</f>
        <v>100</v>
      </c>
      <c r="I52" s="551" t="e">
        <f t="shared" ref="I52" si="48">+I51/I59*100</f>
        <v>#DIV/0!</v>
      </c>
      <c r="J52" s="550">
        <f>+H51/$H$57*100</f>
        <v>17.765511737713641</v>
      </c>
      <c r="K52" s="551" t="e">
        <f>+K51/K91*100</f>
        <v>#DIV/0!</v>
      </c>
      <c r="L52" s="566"/>
      <c r="M52" s="567"/>
      <c r="S52" s="38">
        <f>5/8</f>
        <v>0.625</v>
      </c>
    </row>
    <row r="53" spans="1:19" s="38" customFormat="1" ht="15" customHeight="1" x14ac:dyDescent="0.25">
      <c r="A53" s="637" t="s">
        <v>37</v>
      </c>
      <c r="B53" s="536">
        <v>58252.5</v>
      </c>
      <c r="C53" s="537"/>
      <c r="D53" s="536"/>
      <c r="E53" s="537"/>
      <c r="F53" s="536">
        <v>2070</v>
      </c>
      <c r="G53" s="537"/>
      <c r="H53" s="547">
        <f>+B53+D53+F53</f>
        <v>60322.5</v>
      </c>
      <c r="I53" s="548"/>
      <c r="J53" s="550"/>
      <c r="K53" s="551"/>
      <c r="L53" s="566"/>
      <c r="M53" s="567"/>
    </row>
    <row r="54" spans="1:19" s="38" customFormat="1" ht="15" customHeight="1" x14ac:dyDescent="0.25">
      <c r="A54" s="637"/>
      <c r="B54" s="554">
        <f>+B53/$H$53*100</f>
        <v>96.56844461022007</v>
      </c>
      <c r="C54" s="555" t="e">
        <f>+C53/#REF!*100</f>
        <v>#REF!</v>
      </c>
      <c r="D54" s="554">
        <f t="shared" ref="D54" si="49">+D53/$H$53*100</f>
        <v>0</v>
      </c>
      <c r="E54" s="555" t="e">
        <f>+E53/#REF!*100</f>
        <v>#REF!</v>
      </c>
      <c r="F54" s="554">
        <f t="shared" ref="F54" si="50">+F53/$H$53*100</f>
        <v>3.4315553897799327</v>
      </c>
      <c r="G54" s="555" t="e">
        <f>+G53/#REF!*100</f>
        <v>#REF!</v>
      </c>
      <c r="H54" s="554">
        <f t="shared" ref="H54" si="51">+H53/$H$53*100</f>
        <v>100</v>
      </c>
      <c r="I54" s="555" t="e">
        <f>+I53/#REF!*100</f>
        <v>#REF!</v>
      </c>
      <c r="J54" s="550">
        <f>+H53/$H$57*100</f>
        <v>53.488062778479751</v>
      </c>
      <c r="K54" s="551" t="e">
        <f>+K53/K93*100</f>
        <v>#DIV/0!</v>
      </c>
      <c r="L54" s="566"/>
      <c r="M54" s="567"/>
    </row>
    <row r="55" spans="1:19" s="38" customFormat="1" ht="15" customHeight="1" x14ac:dyDescent="0.25">
      <c r="A55" s="644" t="s">
        <v>41</v>
      </c>
      <c r="B55" s="536">
        <v>7492.5</v>
      </c>
      <c r="C55" s="537"/>
      <c r="D55" s="536"/>
      <c r="E55" s="537"/>
      <c r="F55" s="536">
        <v>969</v>
      </c>
      <c r="G55" s="537"/>
      <c r="H55" s="547">
        <f>+B55+D55+F55</f>
        <v>8461.5</v>
      </c>
      <c r="I55" s="548"/>
      <c r="J55" s="550"/>
      <c r="K55" s="551"/>
      <c r="L55" s="566"/>
      <c r="M55" s="567"/>
    </row>
    <row r="56" spans="1:19" s="38" customFormat="1" ht="15" customHeight="1" x14ac:dyDescent="0.25">
      <c r="A56" s="645"/>
      <c r="B56" s="653">
        <f>+B55/$H$55*100</f>
        <v>88.548129764226204</v>
      </c>
      <c r="C56" s="654" t="e">
        <f>+C55/#REF!*100</f>
        <v>#REF!</v>
      </c>
      <c r="D56" s="692">
        <f t="shared" ref="D56" si="52">+D55/$H$55*100</f>
        <v>0</v>
      </c>
      <c r="E56" s="555" t="e">
        <f>+E55/#REF!*100</f>
        <v>#REF!</v>
      </c>
      <c r="F56" s="653">
        <f t="shared" ref="F56" si="53">+F55/$H$55*100</f>
        <v>11.4518702357738</v>
      </c>
      <c r="G56" s="654" t="e">
        <f>+G55/#REF!*100</f>
        <v>#REF!</v>
      </c>
      <c r="H56" s="692">
        <f t="shared" ref="H56" si="54">+H55/$H$55*100</f>
        <v>100</v>
      </c>
      <c r="I56" s="555" t="e">
        <f>+I55/#REF!*100</f>
        <v>#REF!</v>
      </c>
      <c r="J56" s="653">
        <f>+H55/$H$57*100</f>
        <v>7.5028263616412847</v>
      </c>
      <c r="K56" s="654" t="e">
        <f>+K55/K95*100</f>
        <v>#DIV/0!</v>
      </c>
      <c r="L56" s="566"/>
      <c r="M56" s="567"/>
    </row>
    <row r="57" spans="1:19" s="38" customFormat="1" ht="15.75" customHeight="1" x14ac:dyDescent="0.25">
      <c r="A57" s="524" t="s">
        <v>43</v>
      </c>
      <c r="B57" s="699">
        <f>+B47+B49+B51+B53+B55</f>
        <v>107878.5</v>
      </c>
      <c r="C57" s="700"/>
      <c r="D57" s="699">
        <f t="shared" ref="D57" si="55">+D47+D49+D51+D53+D55</f>
        <v>0</v>
      </c>
      <c r="E57" s="700"/>
      <c r="F57" s="699">
        <f t="shared" ref="F57" si="56">+F47+F49+F51+F53+F55</f>
        <v>4899</v>
      </c>
      <c r="G57" s="700"/>
      <c r="H57" s="699">
        <f t="shared" ref="H57" si="57">+H47+H49+H51+H53+H55</f>
        <v>112777.5</v>
      </c>
      <c r="I57" s="700"/>
      <c r="J57" s="550"/>
      <c r="K57" s="551"/>
      <c r="L57" s="566"/>
      <c r="M57" s="567"/>
    </row>
    <row r="58" spans="1:19" s="38" customFormat="1" ht="16.5" customHeight="1" x14ac:dyDescent="0.25">
      <c r="A58" s="524"/>
      <c r="B58" s="653">
        <f>+B57/$H$57*100</f>
        <v>95.656048413912359</v>
      </c>
      <c r="C58" s="654" t="e">
        <f>+C57/C87*100</f>
        <v>#DIV/0!</v>
      </c>
      <c r="D58" s="550">
        <f t="shared" ref="D58" si="58">+D57/$H$57*100</f>
        <v>0</v>
      </c>
      <c r="E58" s="551" t="e">
        <f t="shared" ref="E58" si="59">+E57/E87*100</f>
        <v>#VALUE!</v>
      </c>
      <c r="F58" s="550">
        <f t="shared" ref="F58" si="60">+F57/$H$57*100</f>
        <v>4.343951586087651</v>
      </c>
      <c r="G58" s="551" t="e">
        <f t="shared" ref="G58" si="61">+G57/G87*100</f>
        <v>#VALUE!</v>
      </c>
      <c r="H58" s="550">
        <f t="shared" ref="H58" si="62">+H57/$H$57*100</f>
        <v>100</v>
      </c>
      <c r="I58" s="551" t="e">
        <f t="shared" ref="I58" si="63">+I57/I87*100</f>
        <v>#VALUE!</v>
      </c>
      <c r="J58" s="692">
        <f>+H57/$H$57*100</f>
        <v>100</v>
      </c>
      <c r="K58" s="555" t="e">
        <f>+K57/K95*100</f>
        <v>#DIV/0!</v>
      </c>
      <c r="L58" s="568"/>
      <c r="M58" s="569"/>
    </row>
    <row r="59" spans="1:19" ht="16.5" customHeight="1" x14ac:dyDescent="0.25">
      <c r="A59" s="601" t="s">
        <v>429</v>
      </c>
      <c r="B59" s="601"/>
      <c r="C59" s="601"/>
      <c r="D59" s="7"/>
      <c r="E59" s="7"/>
      <c r="F59" s="7"/>
      <c r="G59" s="7"/>
      <c r="J59" s="7"/>
      <c r="K59" s="7"/>
      <c r="L59" s="7"/>
      <c r="M59" s="7"/>
    </row>
    <row r="60" spans="1:19" s="38" customFormat="1" ht="16.5" customHeight="1" x14ac:dyDescent="0.25">
      <c r="A60" s="524" t="s">
        <v>32</v>
      </c>
      <c r="B60" s="542" t="s">
        <v>33</v>
      </c>
      <c r="C60" s="542"/>
      <c r="D60" s="542"/>
      <c r="E60" s="542"/>
      <c r="F60" s="542"/>
      <c r="G60" s="542"/>
      <c r="H60" s="542"/>
      <c r="I60" s="542"/>
      <c r="J60" s="543" t="s">
        <v>34</v>
      </c>
      <c r="K60" s="544"/>
      <c r="L60" s="524" t="s">
        <v>35</v>
      </c>
      <c r="M60" s="524"/>
      <c r="O60" s="316" t="s">
        <v>150</v>
      </c>
    </row>
    <row r="61" spans="1:19" s="38" customFormat="1" ht="16.5" customHeight="1" x14ac:dyDescent="0.25">
      <c r="A61" s="524"/>
      <c r="B61" s="528" t="s">
        <v>18</v>
      </c>
      <c r="C61" s="529"/>
      <c r="D61" s="528" t="s">
        <v>19</v>
      </c>
      <c r="E61" s="529"/>
      <c r="F61" s="528" t="s">
        <v>20</v>
      </c>
      <c r="G61" s="529"/>
      <c r="H61" s="528" t="s">
        <v>36</v>
      </c>
      <c r="I61" s="529"/>
      <c r="J61" s="545"/>
      <c r="K61" s="546"/>
      <c r="L61" s="524"/>
      <c r="M61" s="524"/>
    </row>
    <row r="62" spans="1:19" s="38" customFormat="1" ht="16.5" customHeight="1" x14ac:dyDescent="0.25">
      <c r="A62" s="651" t="s">
        <v>39</v>
      </c>
      <c r="B62" s="536">
        <v>27444.800000000007</v>
      </c>
      <c r="C62" s="537"/>
      <c r="D62" s="536"/>
      <c r="E62" s="537"/>
      <c r="F62" s="536">
        <v>1505.6</v>
      </c>
      <c r="G62" s="537"/>
      <c r="H62" s="547">
        <f>+B62+D62+F62</f>
        <v>28950.400000000005</v>
      </c>
      <c r="I62" s="548"/>
      <c r="J62" s="549"/>
      <c r="K62" s="541"/>
      <c r="L62" s="543"/>
      <c r="M62" s="544"/>
    </row>
    <row r="63" spans="1:19" s="38" customFormat="1" ht="16.5" customHeight="1" x14ac:dyDescent="0.25">
      <c r="A63" s="652"/>
      <c r="B63" s="550">
        <f>+B62/$H$62*100</f>
        <v>94.79938101027966</v>
      </c>
      <c r="C63" s="551" t="e">
        <f>+C62/C64*100</f>
        <v>#DIV/0!</v>
      </c>
      <c r="D63" s="550">
        <f t="shared" ref="D63" si="64">+D62/$H$62*100</f>
        <v>0</v>
      </c>
      <c r="E63" s="551" t="e">
        <f t="shared" ref="E63" si="65">+E62/E64*100</f>
        <v>#DIV/0!</v>
      </c>
      <c r="F63" s="550">
        <f t="shared" ref="F63" si="66">+F62/$H$62*100</f>
        <v>5.2006189897203479</v>
      </c>
      <c r="G63" s="551" t="e">
        <f t="shared" ref="G63" si="67">+G62/G64*100</f>
        <v>#DIV/0!</v>
      </c>
      <c r="H63" s="550">
        <f t="shared" ref="H63" si="68">+H62/$H$62*100</f>
        <v>100</v>
      </c>
      <c r="I63" s="551" t="e">
        <f t="shared" ref="I63" si="69">+I62/I64*100</f>
        <v>#DIV/0!</v>
      </c>
      <c r="J63" s="549">
        <f>+H62/$H$82*100</f>
        <v>10.706065429242576</v>
      </c>
      <c r="K63" s="541"/>
      <c r="L63" s="703"/>
      <c r="M63" s="704"/>
    </row>
    <row r="64" spans="1:19" s="38" customFormat="1" ht="16.5" customHeight="1" x14ac:dyDescent="0.25">
      <c r="A64" s="637" t="s">
        <v>436</v>
      </c>
      <c r="B64" s="536">
        <v>5833.5999999999995</v>
      </c>
      <c r="C64" s="537"/>
      <c r="D64" s="536"/>
      <c r="E64" s="537"/>
      <c r="F64" s="536">
        <v>366.4</v>
      </c>
      <c r="G64" s="537"/>
      <c r="H64" s="547">
        <f>+B64+D64+F64</f>
        <v>6199.9999999999991</v>
      </c>
      <c r="I64" s="548"/>
      <c r="J64" s="549"/>
      <c r="K64" s="541"/>
      <c r="L64" s="703"/>
      <c r="M64" s="704"/>
    </row>
    <row r="65" spans="1:13" s="38" customFormat="1" ht="16.5" customHeight="1" x14ac:dyDescent="0.25">
      <c r="A65" s="637"/>
      <c r="B65" s="550">
        <f>+B64/$H$64*100</f>
        <v>94.090322580645164</v>
      </c>
      <c r="C65" s="551" t="e">
        <f>+C64/C66*100</f>
        <v>#DIV/0!</v>
      </c>
      <c r="D65" s="550">
        <f t="shared" ref="D65" si="70">+D64/$H$64*100</f>
        <v>0</v>
      </c>
      <c r="E65" s="551" t="e">
        <f t="shared" ref="E65" si="71">+E64/E66*100</f>
        <v>#DIV/0!</v>
      </c>
      <c r="F65" s="550">
        <f t="shared" ref="F65" si="72">+F64/$H$64*100</f>
        <v>5.9096774193548391</v>
      </c>
      <c r="G65" s="551" t="e">
        <f t="shared" ref="G65" si="73">+G64/G66*100</f>
        <v>#DIV/0!</v>
      </c>
      <c r="H65" s="550">
        <f t="shared" ref="H65" si="74">+H64/$H$64*100</f>
        <v>100</v>
      </c>
      <c r="I65" s="551" t="e">
        <f t="shared" ref="I65" si="75">+I64/I66*100</f>
        <v>#DIV/0!</v>
      </c>
      <c r="J65" s="549">
        <f>+H64/$H$82*100</f>
        <v>2.2928044400527785</v>
      </c>
      <c r="K65" s="541"/>
      <c r="L65" s="703"/>
      <c r="M65" s="704"/>
    </row>
    <row r="66" spans="1:13" s="38" customFormat="1" ht="16.5" customHeight="1" x14ac:dyDescent="0.25">
      <c r="A66" s="637" t="s">
        <v>177</v>
      </c>
      <c r="B66" s="536">
        <v>9057.5999999999985</v>
      </c>
      <c r="C66" s="537"/>
      <c r="D66" s="536"/>
      <c r="E66" s="537"/>
      <c r="F66" s="536">
        <v>296</v>
      </c>
      <c r="G66" s="537"/>
      <c r="H66" s="547">
        <f>+B66+D66+F66</f>
        <v>9353.5999999999985</v>
      </c>
      <c r="I66" s="548"/>
      <c r="J66" s="549"/>
      <c r="K66" s="541"/>
      <c r="L66" s="703"/>
      <c r="M66" s="704"/>
    </row>
    <row r="67" spans="1:13" s="38" customFormat="1" ht="16.5" customHeight="1" x14ac:dyDescent="0.25">
      <c r="A67" s="637"/>
      <c r="B67" s="550">
        <f>+B66/$H$66*100</f>
        <v>96.835443037974684</v>
      </c>
      <c r="C67" s="551" t="e">
        <f>+C66/C68*100</f>
        <v>#DIV/0!</v>
      </c>
      <c r="D67" s="550">
        <f t="shared" ref="D67" si="76">+D66/$H$66*100</f>
        <v>0</v>
      </c>
      <c r="E67" s="551" t="e">
        <f t="shared" ref="E67" si="77">+E66/E68*100</f>
        <v>#DIV/0!</v>
      </c>
      <c r="F67" s="550">
        <f t="shared" ref="F67" si="78">+F66/$H$66*100</f>
        <v>3.1645569620253164</v>
      </c>
      <c r="G67" s="551" t="e">
        <f t="shared" ref="G67" si="79">+G66/G68*100</f>
        <v>#DIV/0!</v>
      </c>
      <c r="H67" s="550">
        <f t="shared" ref="H67" si="80">+H66/$H$66*100</f>
        <v>100</v>
      </c>
      <c r="I67" s="551" t="e">
        <f t="shared" ref="I67" si="81">+I66/I68*100</f>
        <v>#DIV/0!</v>
      </c>
      <c r="J67" s="549">
        <f>+H66/$H$82*100</f>
        <v>3.4590283242705917</v>
      </c>
      <c r="K67" s="541"/>
      <c r="L67" s="703"/>
      <c r="M67" s="704"/>
    </row>
    <row r="68" spans="1:13" s="38" customFormat="1" ht="16.5" customHeight="1" x14ac:dyDescent="0.25">
      <c r="A68" s="637" t="s">
        <v>38</v>
      </c>
      <c r="B68" s="536">
        <v>7814.4000000000005</v>
      </c>
      <c r="C68" s="537"/>
      <c r="D68" s="536"/>
      <c r="E68" s="537"/>
      <c r="F68" s="536">
        <v>347.2</v>
      </c>
      <c r="G68" s="537"/>
      <c r="H68" s="547">
        <f>+B68+D68+F68</f>
        <v>8161.6</v>
      </c>
      <c r="I68" s="548"/>
      <c r="J68" s="549"/>
      <c r="K68" s="541"/>
      <c r="L68" s="703"/>
      <c r="M68" s="704"/>
    </row>
    <row r="69" spans="1:13" s="38" customFormat="1" ht="16.5" customHeight="1" x14ac:dyDescent="0.25">
      <c r="A69" s="637"/>
      <c r="B69" s="550">
        <f>+B68/$H$68*100</f>
        <v>95.745932170162718</v>
      </c>
      <c r="C69" s="551" t="e">
        <f>+C68/C78*100</f>
        <v>#DIV/0!</v>
      </c>
      <c r="D69" s="550">
        <f t="shared" ref="D69" si="82">+D68/$H$68*100</f>
        <v>0</v>
      </c>
      <c r="E69" s="551" t="e">
        <f t="shared" ref="E69" si="83">+E68/E78*100</f>
        <v>#DIV/0!</v>
      </c>
      <c r="F69" s="550">
        <f t="shared" ref="F69" si="84">+F68/$H$68*100</f>
        <v>4.2540678298372869</v>
      </c>
      <c r="G69" s="551" t="e">
        <f t="shared" ref="G69" si="85">+G68/G78*100</f>
        <v>#DIV/0!</v>
      </c>
      <c r="H69" s="550">
        <f t="shared" ref="H69" si="86">+H68/$H$68*100</f>
        <v>100</v>
      </c>
      <c r="I69" s="551" t="e">
        <f t="shared" ref="I69" si="87">+I68/I78*100</f>
        <v>#DIV/0!</v>
      </c>
      <c r="J69" s="549">
        <f>+H68/$H$82*100</f>
        <v>3.0182181803120578</v>
      </c>
      <c r="K69" s="541"/>
      <c r="L69" s="703"/>
      <c r="M69" s="704"/>
    </row>
    <row r="70" spans="1:13" s="38" customFormat="1" ht="16.5" customHeight="1" x14ac:dyDescent="0.25">
      <c r="A70" s="655" t="s">
        <v>40</v>
      </c>
      <c r="B70" s="536">
        <v>30073.600000000002</v>
      </c>
      <c r="C70" s="537"/>
      <c r="D70" s="536"/>
      <c r="E70" s="537"/>
      <c r="F70" s="536">
        <v>2105.6000000000004</v>
      </c>
      <c r="G70" s="537"/>
      <c r="H70" s="547">
        <f>+B70+D70+F70</f>
        <v>32179.200000000004</v>
      </c>
      <c r="I70" s="548"/>
      <c r="J70" s="549"/>
      <c r="K70" s="541"/>
      <c r="L70" s="703"/>
      <c r="M70" s="704"/>
    </row>
    <row r="71" spans="1:13" s="38" customFormat="1" ht="16.5" customHeight="1" x14ac:dyDescent="0.25">
      <c r="A71" s="656"/>
      <c r="B71" s="550">
        <f>+B70/$H$70*100</f>
        <v>93.456642800318207</v>
      </c>
      <c r="C71" s="551" t="e">
        <f>+C70/C72*100</f>
        <v>#DIV/0!</v>
      </c>
      <c r="D71" s="550">
        <f t="shared" ref="D71" si="88">+D70/$H$70*100</f>
        <v>0</v>
      </c>
      <c r="E71" s="551" t="e">
        <f t="shared" ref="E71" si="89">+E70/E72*100</f>
        <v>#DIV/0!</v>
      </c>
      <c r="F71" s="550">
        <f t="shared" ref="F71" si="90">+F70/$H$70*100</f>
        <v>6.5433571996817816</v>
      </c>
      <c r="G71" s="551" t="e">
        <f t="shared" ref="G71" si="91">+G70/G72*100</f>
        <v>#DIV/0!</v>
      </c>
      <c r="H71" s="550">
        <f t="shared" ref="H71" si="92">+H70/$H$70*100</f>
        <v>100</v>
      </c>
      <c r="I71" s="551" t="e">
        <f t="shared" ref="I71" si="93">+I70/I72*100</f>
        <v>#DIV/0!</v>
      </c>
      <c r="J71" s="549">
        <f>+H70/$H$82*100</f>
        <v>11.900098812475225</v>
      </c>
      <c r="K71" s="541"/>
      <c r="L71" s="703"/>
      <c r="M71" s="704"/>
    </row>
    <row r="72" spans="1:13" s="38" customFormat="1" ht="16.5" customHeight="1" x14ac:dyDescent="0.25">
      <c r="A72" s="637" t="s">
        <v>37</v>
      </c>
      <c r="B72" s="536">
        <v>69662.400000000023</v>
      </c>
      <c r="C72" s="537"/>
      <c r="D72" s="536"/>
      <c r="E72" s="537"/>
      <c r="F72" s="536">
        <v>6953.5999999999995</v>
      </c>
      <c r="G72" s="537"/>
      <c r="H72" s="547">
        <f>+B72+D72+F72</f>
        <v>76616.000000000029</v>
      </c>
      <c r="I72" s="548"/>
      <c r="J72" s="549"/>
      <c r="K72" s="541"/>
      <c r="L72" s="703"/>
      <c r="M72" s="704"/>
    </row>
    <row r="73" spans="1:13" s="38" customFormat="1" ht="16.5" customHeight="1" x14ac:dyDescent="0.25">
      <c r="A73" s="637"/>
      <c r="B73" s="550">
        <f>+B72/$H$72*100</f>
        <v>90.924088963140861</v>
      </c>
      <c r="C73" s="551" t="e">
        <f>+C72/C74*100</f>
        <v>#DIV/0!</v>
      </c>
      <c r="D73" s="550">
        <f t="shared" ref="D73" si="94">+D72/$H$72*100</f>
        <v>0</v>
      </c>
      <c r="E73" s="551" t="e">
        <f t="shared" ref="E73" si="95">+E72/E74*100</f>
        <v>#DIV/0!</v>
      </c>
      <c r="F73" s="550">
        <f t="shared" ref="F73" si="96">+F72/$H$72*100</f>
        <v>9.0759110368591376</v>
      </c>
      <c r="G73" s="551" t="e">
        <f t="shared" ref="G73" si="97">+G72/G74*100</f>
        <v>#DIV/0!</v>
      </c>
      <c r="H73" s="550">
        <f t="shared" ref="H73" si="98">+H72/$H$72*100</f>
        <v>100</v>
      </c>
      <c r="I73" s="551" t="e">
        <f t="shared" ref="I73" si="99">+I72/I74*100</f>
        <v>#DIV/0!</v>
      </c>
      <c r="J73" s="549">
        <f>+H72/$H$82*100</f>
        <v>28.333145964368349</v>
      </c>
      <c r="K73" s="541"/>
      <c r="L73" s="703"/>
      <c r="M73" s="704"/>
    </row>
    <row r="74" spans="1:13" s="38" customFormat="1" ht="16.5" customHeight="1" x14ac:dyDescent="0.25">
      <c r="A74" s="637" t="s">
        <v>305</v>
      </c>
      <c r="B74" s="536">
        <v>16961.600000000006</v>
      </c>
      <c r="C74" s="537"/>
      <c r="D74" s="536"/>
      <c r="E74" s="537"/>
      <c r="F74" s="536">
        <v>822.40000000000009</v>
      </c>
      <c r="G74" s="537"/>
      <c r="H74" s="547">
        <f>+B74+D74+F74</f>
        <v>17784.000000000007</v>
      </c>
      <c r="I74" s="548"/>
      <c r="J74" s="549"/>
      <c r="K74" s="541"/>
      <c r="L74" s="703"/>
      <c r="M74" s="704"/>
    </row>
    <row r="75" spans="1:13" s="38" customFormat="1" ht="16.5" customHeight="1" x14ac:dyDescent="0.25">
      <c r="A75" s="637"/>
      <c r="B75" s="550">
        <f>+B74/$H$74*100</f>
        <v>95.375618533513261</v>
      </c>
      <c r="C75" s="551" t="e">
        <f>+C74/C76*100</f>
        <v>#DIV/0!</v>
      </c>
      <c r="D75" s="550">
        <f t="shared" ref="D75" si="100">+D74/$H$74*100</f>
        <v>0</v>
      </c>
      <c r="E75" s="551" t="e">
        <f t="shared" ref="E75" si="101">+E74/E76*100</f>
        <v>#DIV/0!</v>
      </c>
      <c r="F75" s="550">
        <f t="shared" ref="F75" si="102">+F74/$H$74*100</f>
        <v>4.624381466486728</v>
      </c>
      <c r="G75" s="551" t="e">
        <f t="shared" ref="G75" si="103">+G74/G76*100</f>
        <v>#DIV/0!</v>
      </c>
      <c r="H75" s="550">
        <f t="shared" ref="H75" si="104">+H74/$H$74*100</f>
        <v>100</v>
      </c>
      <c r="I75" s="551" t="e">
        <f t="shared" ref="I75" si="105">+I74/I76*100</f>
        <v>#DIV/0!</v>
      </c>
      <c r="J75" s="549">
        <f>+H74/$H$82*100</f>
        <v>6.5766506712739732</v>
      </c>
      <c r="K75" s="541"/>
      <c r="L75" s="703"/>
      <c r="M75" s="704"/>
    </row>
    <row r="76" spans="1:13" s="38" customFormat="1" ht="16.5" customHeight="1" x14ac:dyDescent="0.25">
      <c r="A76" s="637" t="s">
        <v>42</v>
      </c>
      <c r="B76" s="536">
        <v>26257.600000000002</v>
      </c>
      <c r="C76" s="537"/>
      <c r="D76" s="536"/>
      <c r="E76" s="537"/>
      <c r="F76" s="536">
        <v>1403.2</v>
      </c>
      <c r="G76" s="537"/>
      <c r="H76" s="547">
        <f>+B76+D76+F76</f>
        <v>27660.800000000003</v>
      </c>
      <c r="I76" s="548"/>
      <c r="J76" s="549"/>
      <c r="K76" s="541"/>
      <c r="L76" s="703"/>
      <c r="M76" s="704"/>
    </row>
    <row r="77" spans="1:13" s="38" customFormat="1" ht="16.5" customHeight="1" x14ac:dyDescent="0.25">
      <c r="A77" s="637"/>
      <c r="B77" s="550">
        <f>+B76/$H$76*100</f>
        <v>94.927117075428029</v>
      </c>
      <c r="C77" s="551" t="e">
        <f>+C76/C86*100</f>
        <v>#DIV/0!</v>
      </c>
      <c r="D77" s="550">
        <f t="shared" ref="D77" si="106">+D76/$H$76*100</f>
        <v>0</v>
      </c>
      <c r="E77" s="551" t="e">
        <f t="shared" ref="E77" si="107">+E76/E86*100</f>
        <v>#DIV/0!</v>
      </c>
      <c r="F77" s="550">
        <f t="shared" ref="F77" si="108">+F76/$H$76*100</f>
        <v>5.0728829245719576</v>
      </c>
      <c r="G77" s="551" t="e">
        <f t="shared" ref="G77" si="109">+G76/G86*100</f>
        <v>#DIV/0!</v>
      </c>
      <c r="H77" s="550">
        <f t="shared" ref="H77" si="110">+H76/$H$76*100</f>
        <v>100</v>
      </c>
      <c r="I77" s="551" t="e">
        <f t="shared" ref="I77" si="111">+I76/I86*100</f>
        <v>#DIV/0!</v>
      </c>
      <c r="J77" s="549">
        <f>+H76/$H$82*100</f>
        <v>10.229162105711598</v>
      </c>
      <c r="K77" s="541"/>
      <c r="L77" s="703"/>
      <c r="M77" s="704"/>
    </row>
    <row r="78" spans="1:13" s="38" customFormat="1" ht="16.5" customHeight="1" x14ac:dyDescent="0.25">
      <c r="A78" s="637" t="s">
        <v>117</v>
      </c>
      <c r="B78" s="536">
        <v>31990.399999999998</v>
      </c>
      <c r="C78" s="537"/>
      <c r="D78" s="536"/>
      <c r="E78" s="537"/>
      <c r="F78" s="536">
        <v>2327.9999999999995</v>
      </c>
      <c r="G78" s="537"/>
      <c r="H78" s="547">
        <f>+B78+D78+F78</f>
        <v>34318.399999999994</v>
      </c>
      <c r="I78" s="548"/>
      <c r="J78" s="549"/>
      <c r="K78" s="541"/>
      <c r="L78" s="703"/>
      <c r="M78" s="704"/>
    </row>
    <row r="79" spans="1:13" s="38" customFormat="1" ht="16.5" customHeight="1" x14ac:dyDescent="0.25">
      <c r="A79" s="637"/>
      <c r="B79" s="550">
        <f>+B78/$H$78*100</f>
        <v>93.216466968157036</v>
      </c>
      <c r="C79" s="551" t="e">
        <f>+C78/C80*100</f>
        <v>#DIV/0!</v>
      </c>
      <c r="D79" s="550">
        <f t="shared" ref="D79" si="112">+D78/$H$36*100</f>
        <v>0</v>
      </c>
      <c r="E79" s="551" t="e">
        <f>+E78/E80*100</f>
        <v>#DIV/0!</v>
      </c>
      <c r="F79" s="550">
        <f>+F78/$H$78*100</f>
        <v>6.7835330318429765</v>
      </c>
      <c r="G79" s="643"/>
      <c r="H79" s="550">
        <f>+B79+F79</f>
        <v>100.00000000000001</v>
      </c>
      <c r="I79" s="551" t="e">
        <f>+I78/I84*100</f>
        <v>#DIV/0!</v>
      </c>
      <c r="J79" s="549">
        <f>+H78/$H$82*100</f>
        <v>12.691190305726979</v>
      </c>
      <c r="K79" s="541"/>
      <c r="L79" s="703"/>
      <c r="M79" s="704"/>
    </row>
    <row r="80" spans="1:13" s="38" customFormat="1" ht="16.5" customHeight="1" x14ac:dyDescent="0.25">
      <c r="A80" s="637" t="s">
        <v>216</v>
      </c>
      <c r="B80" s="536">
        <v>27633.599999999999</v>
      </c>
      <c r="C80" s="537"/>
      <c r="D80" s="536"/>
      <c r="E80" s="537"/>
      <c r="F80" s="536">
        <v>1553.6000000000001</v>
      </c>
      <c r="G80" s="537"/>
      <c r="H80" s="547">
        <f>+B80+D80+F80</f>
        <v>29187.199999999997</v>
      </c>
      <c r="I80" s="548"/>
      <c r="J80" s="549"/>
      <c r="K80" s="541"/>
      <c r="L80" s="703"/>
      <c r="M80" s="704"/>
    </row>
    <row r="81" spans="1:19" s="38" customFormat="1" ht="16.5" customHeight="1" x14ac:dyDescent="0.25">
      <c r="A81" s="637"/>
      <c r="B81" s="550">
        <f>+B80/$H$80*100</f>
        <v>94.677118736980603</v>
      </c>
      <c r="C81" s="551" t="e">
        <f>+C80/C82*100</f>
        <v>#REF!</v>
      </c>
      <c r="D81" s="550">
        <f t="shared" ref="D81" si="113">+D80/$H$80*100</f>
        <v>0</v>
      </c>
      <c r="E81" s="551" t="e">
        <f t="shared" ref="E81" si="114">+E80/E82*100</f>
        <v>#REF!</v>
      </c>
      <c r="F81" s="550">
        <f t="shared" ref="F81" si="115">+F80/$H$80*100</f>
        <v>5.3228812630194069</v>
      </c>
      <c r="G81" s="551" t="e">
        <f t="shared" ref="G81" si="116">+G80/G82*100</f>
        <v>#REF!</v>
      </c>
      <c r="H81" s="550">
        <f>+H80/H80*100</f>
        <v>100</v>
      </c>
      <c r="I81" s="551" t="e">
        <f>+I80/#REF!*100</f>
        <v>#REF!</v>
      </c>
      <c r="J81" s="549">
        <f>+H80/$H$82*100</f>
        <v>10.793635766565881</v>
      </c>
      <c r="K81" s="541"/>
      <c r="L81" s="703"/>
      <c r="M81" s="704"/>
    </row>
    <row r="82" spans="1:19" s="38" customFormat="1" ht="16.5" customHeight="1" x14ac:dyDescent="0.25">
      <c r="A82" s="524" t="s">
        <v>43</v>
      </c>
      <c r="B82" s="697">
        <f>+B80+B78+B62+B64+B66+B68+B70+B72+B74+B76</f>
        <v>252729.60000000003</v>
      </c>
      <c r="C82" s="698" t="e">
        <f>+#REF!+#REF!+#REF!+#REF!+#REF!+C80+#REF!</f>
        <v>#REF!</v>
      </c>
      <c r="D82" s="697">
        <f t="shared" ref="D82" si="117">+D80+D78</f>
        <v>0</v>
      </c>
      <c r="E82" s="698" t="e">
        <f>+#REF!+#REF!+#REF!+#REF!+#REF!+E80+#REF!</f>
        <v>#REF!</v>
      </c>
      <c r="F82" s="697">
        <f>+F80+F78+F62+F64+F66+F68+F70+F72+F74+F76</f>
        <v>17681.599999999995</v>
      </c>
      <c r="G82" s="698" t="e">
        <f>+#REF!+#REF!+#REF!+#REF!+#REF!+G80+#REF!</f>
        <v>#REF!</v>
      </c>
      <c r="H82" s="697">
        <f>+B82+F82</f>
        <v>270411.2</v>
      </c>
      <c r="I82" s="698" t="e">
        <f>+#REF!+#REF!+#REF!+#REF!+#REF!+I80+#REF!</f>
        <v>#REF!</v>
      </c>
      <c r="J82" s="549"/>
      <c r="K82" s="541"/>
      <c r="L82" s="703"/>
      <c r="M82" s="704"/>
      <c r="O82" s="168" t="e">
        <f>+#REF!+H79+#REF!+#REF!+#REF!+H81+#REF!+#REF!</f>
        <v>#REF!</v>
      </c>
    </row>
    <row r="83" spans="1:19" s="38" customFormat="1" ht="16.5" customHeight="1" x14ac:dyDescent="0.25">
      <c r="A83" s="524"/>
      <c r="B83" s="550">
        <f>+B82/H82*100</f>
        <v>93.461217582703682</v>
      </c>
      <c r="C83" s="551" t="e">
        <f>+#REF!+C81+#REF!+#REF!+#REF!+#REF!</f>
        <v>#REF!</v>
      </c>
      <c r="D83" s="550">
        <f t="shared" ref="D83" si="118">+D82/$H$42*100</f>
        <v>0</v>
      </c>
      <c r="E83" s="551" t="e">
        <f>+#REF!+E81+#REF!+#REF!+#REF!+#REF!</f>
        <v>#REF!</v>
      </c>
      <c r="F83" s="550">
        <f>+F82/$H$82*100</f>
        <v>6.5387824172963223</v>
      </c>
      <c r="G83" s="643"/>
      <c r="H83" s="550">
        <f>+H82/$H$82*100</f>
        <v>100</v>
      </c>
      <c r="I83" s="551" t="e">
        <f>+#REF!+I81+#REF!+#REF!+#REF!+#REF!</f>
        <v>#REF!</v>
      </c>
      <c r="J83" s="549">
        <f>+H82/$H$82*100</f>
        <v>100</v>
      </c>
      <c r="K83" s="541"/>
      <c r="L83" s="545"/>
      <c r="M83" s="546"/>
    </row>
    <row r="84" spans="1:19" ht="18" customHeight="1" x14ac:dyDescent="0.25">
      <c r="A84" s="693" t="s">
        <v>430</v>
      </c>
      <c r="B84" s="693"/>
      <c r="C84" s="693"/>
      <c r="D84" s="693"/>
      <c r="E84" s="7"/>
      <c r="F84" s="7"/>
      <c r="G84" s="7"/>
      <c r="J84" s="7"/>
      <c r="K84" s="7"/>
      <c r="L84" s="7"/>
      <c r="M84" s="7"/>
    </row>
    <row r="85" spans="1:19" ht="16.5" customHeight="1" x14ac:dyDescent="0.25">
      <c r="A85" s="1" t="s">
        <v>45</v>
      </c>
      <c r="B85" s="7"/>
      <c r="C85" s="7"/>
      <c r="D85" s="7"/>
      <c r="E85" s="7"/>
      <c r="F85" s="7"/>
      <c r="G85" s="7"/>
      <c r="J85" s="7"/>
      <c r="K85" s="7"/>
      <c r="L85" s="7"/>
      <c r="M85" s="7"/>
    </row>
    <row r="86" spans="1:19" ht="17.25" customHeight="1" x14ac:dyDescent="0.25">
      <c r="A86" s="2" t="s">
        <v>309</v>
      </c>
      <c r="B86" s="7"/>
      <c r="C86" s="7"/>
      <c r="D86" s="7"/>
      <c r="E86" s="7"/>
      <c r="F86" s="7"/>
      <c r="G86" s="7"/>
      <c r="J86" s="7"/>
      <c r="K86" s="7"/>
      <c r="L86" s="7"/>
      <c r="M86" s="7"/>
      <c r="N86" s="157" t="s">
        <v>181</v>
      </c>
    </row>
    <row r="87" spans="1:19" ht="33" customHeight="1" x14ac:dyDescent="0.25">
      <c r="A87" s="370" t="s">
        <v>47</v>
      </c>
      <c r="B87" s="524" t="s">
        <v>48</v>
      </c>
      <c r="C87" s="524"/>
      <c r="D87" s="370" t="s">
        <v>17</v>
      </c>
      <c r="E87" s="370" t="s">
        <v>49</v>
      </c>
      <c r="F87" s="370" t="s">
        <v>50</v>
      </c>
      <c r="G87" s="528" t="s">
        <v>51</v>
      </c>
      <c r="H87" s="529"/>
      <c r="I87" s="370" t="s">
        <v>52</v>
      </c>
      <c r="J87" s="370" t="s">
        <v>53</v>
      </c>
      <c r="K87" s="528" t="s">
        <v>35</v>
      </c>
      <c r="L87" s="557"/>
      <c r="M87" s="529"/>
      <c r="N87" s="47" t="s">
        <v>54</v>
      </c>
      <c r="O87" s="48">
        <f>+O88+O89</f>
        <v>174246</v>
      </c>
      <c r="P87" s="47" t="s">
        <v>13</v>
      </c>
      <c r="Q87" s="47">
        <f>+Q88+Q89</f>
        <v>0</v>
      </c>
    </row>
    <row r="88" spans="1:19" ht="30.75" customHeight="1" x14ac:dyDescent="0.25">
      <c r="A88" s="11">
        <v>1</v>
      </c>
      <c r="B88" s="585" t="s">
        <v>74</v>
      </c>
      <c r="C88" s="585"/>
      <c r="D88" s="380" t="s">
        <v>56</v>
      </c>
      <c r="E88" s="32">
        <v>21.26</v>
      </c>
      <c r="F88" s="51">
        <f>+G88/$O$87</f>
        <v>20.717103854615658</v>
      </c>
      <c r="G88" s="578">
        <v>3609872.4782513599</v>
      </c>
      <c r="H88" s="579"/>
      <c r="I88" s="389">
        <f>+(E88-F88)*$O$87</f>
        <v>94597.481748640319</v>
      </c>
      <c r="J88" s="379"/>
      <c r="K88" s="561" t="s">
        <v>470</v>
      </c>
      <c r="L88" s="562"/>
      <c r="M88" s="563"/>
      <c r="N88" s="54" t="s">
        <v>76</v>
      </c>
      <c r="O88" s="55">
        <f>+H42</f>
        <v>61468.5</v>
      </c>
      <c r="P88" s="55"/>
      <c r="Q88" s="55"/>
      <c r="R88" s="46"/>
    </row>
    <row r="89" spans="1:19" ht="18" customHeight="1" x14ac:dyDescent="0.25">
      <c r="A89" s="11">
        <v>2</v>
      </c>
      <c r="B89" s="558" t="s">
        <v>77</v>
      </c>
      <c r="C89" s="558"/>
      <c r="D89" s="378" t="s">
        <v>56</v>
      </c>
      <c r="E89" s="63">
        <v>0.28000000000000003</v>
      </c>
      <c r="F89" s="57">
        <f>+G89/$O$88</f>
        <v>0.27283698154339209</v>
      </c>
      <c r="G89" s="578">
        <v>16770.879999999997</v>
      </c>
      <c r="H89" s="579"/>
      <c r="I89" s="389">
        <f>+(E89-F89)*$O$88</f>
        <v>440.30000000000513</v>
      </c>
      <c r="J89" s="379"/>
      <c r="K89" s="561"/>
      <c r="L89" s="562"/>
      <c r="M89" s="563"/>
      <c r="N89" s="54" t="s">
        <v>78</v>
      </c>
      <c r="O89" s="55">
        <f>+H57</f>
        <v>112777.5</v>
      </c>
      <c r="P89" s="55"/>
      <c r="Q89" s="55"/>
      <c r="R89" s="46"/>
    </row>
    <row r="90" spans="1:19" ht="18" customHeight="1" x14ac:dyDescent="0.25">
      <c r="A90" s="11">
        <v>3</v>
      </c>
      <c r="B90" s="583" t="s">
        <v>79</v>
      </c>
      <c r="C90" s="584"/>
      <c r="D90" s="378" t="s">
        <v>56</v>
      </c>
      <c r="E90" s="63">
        <v>0.39</v>
      </c>
      <c r="F90" s="57">
        <f>+G90/$O$89</f>
        <v>0.3643991044312917</v>
      </c>
      <c r="G90" s="559">
        <v>41096.019999999997</v>
      </c>
      <c r="H90" s="560"/>
      <c r="I90" s="377">
        <f>+(E90-F90)*$O$89</f>
        <v>2887.2050000000022</v>
      </c>
      <c r="J90" s="379"/>
      <c r="K90" s="58"/>
      <c r="L90" s="58"/>
      <c r="M90" s="61"/>
      <c r="N90" s="71"/>
      <c r="O90" s="71"/>
      <c r="P90" s="71"/>
      <c r="R90" s="46"/>
      <c r="S90" s="6"/>
    </row>
    <row r="91" spans="1:19" ht="18" customHeight="1" x14ac:dyDescent="0.25">
      <c r="A91" s="11">
        <v>4</v>
      </c>
      <c r="B91" s="558" t="s">
        <v>80</v>
      </c>
      <c r="C91" s="558"/>
      <c r="D91" s="378" t="s">
        <v>56</v>
      </c>
      <c r="E91" s="63">
        <v>9.8000000000000004E-2</v>
      </c>
      <c r="F91" s="57">
        <f>+G91/$O$88</f>
        <v>8.3766482019245636E-2</v>
      </c>
      <c r="G91" s="578">
        <v>5149</v>
      </c>
      <c r="H91" s="579"/>
      <c r="I91" s="389">
        <f>+(E91-F91)*$O$88</f>
        <v>874.9129999999999</v>
      </c>
      <c r="J91" s="379"/>
      <c r="K91" s="561"/>
      <c r="L91" s="562"/>
      <c r="M91" s="563"/>
      <c r="N91" s="72"/>
      <c r="O91" s="71"/>
      <c r="P91" s="73"/>
      <c r="R91" s="46"/>
      <c r="S91" s="6"/>
    </row>
    <row r="92" spans="1:19" s="76" customFormat="1" ht="18" customHeight="1" x14ac:dyDescent="0.25">
      <c r="A92" s="11">
        <v>5</v>
      </c>
      <c r="B92" s="583" t="s">
        <v>81</v>
      </c>
      <c r="C92" s="584"/>
      <c r="D92" s="378" t="s">
        <v>56</v>
      </c>
      <c r="E92" s="63">
        <v>0.39</v>
      </c>
      <c r="F92" s="57">
        <f>+G92/$O$89</f>
        <v>0.38748863913457909</v>
      </c>
      <c r="G92" s="559">
        <v>43699.999999999993</v>
      </c>
      <c r="H92" s="560"/>
      <c r="I92" s="389">
        <f>+(E92-F92)*$O$89</f>
        <v>283.22500000000775</v>
      </c>
      <c r="J92" s="379"/>
      <c r="K92" s="58"/>
      <c r="L92" s="58"/>
      <c r="M92" s="74"/>
      <c r="N92" s="72"/>
      <c r="O92" s="75">
        <f>+O87/G100</f>
        <v>91.708421052631579</v>
      </c>
      <c r="P92" s="75"/>
      <c r="R92" s="77"/>
    </row>
    <row r="93" spans="1:19" s="76" customFormat="1" ht="18" customHeight="1" x14ac:dyDescent="0.25">
      <c r="A93" s="11">
        <v>6</v>
      </c>
      <c r="B93" s="558" t="s">
        <v>82</v>
      </c>
      <c r="C93" s="558"/>
      <c r="D93" s="378" t="s">
        <v>56</v>
      </c>
      <c r="E93" s="78">
        <v>0.11899999999999999</v>
      </c>
      <c r="F93" s="57">
        <f>+G93/$O$88</f>
        <v>0.13496343655693563</v>
      </c>
      <c r="G93" s="559">
        <v>8295.9999999999982</v>
      </c>
      <c r="H93" s="560"/>
      <c r="I93" s="389">
        <f>+(E93-F93)*$O$88</f>
        <v>-981.24849999999799</v>
      </c>
      <c r="J93" s="379"/>
      <c r="K93" s="58"/>
      <c r="L93" s="58"/>
      <c r="M93" s="74"/>
      <c r="N93" s="75"/>
      <c r="O93" s="75"/>
      <c r="P93" s="75"/>
      <c r="R93" s="77"/>
    </row>
    <row r="94" spans="1:19" ht="18" customHeight="1" x14ac:dyDescent="0.25">
      <c r="A94" s="11">
        <v>7</v>
      </c>
      <c r="B94" s="583" t="s">
        <v>83</v>
      </c>
      <c r="C94" s="584"/>
      <c r="D94" s="378" t="s">
        <v>62</v>
      </c>
      <c r="E94" s="63">
        <v>0.66900000000000004</v>
      </c>
      <c r="F94" s="57">
        <f>+G94/$O$87</f>
        <v>0.66844002157868765</v>
      </c>
      <c r="G94" s="559">
        <v>116473</v>
      </c>
      <c r="H94" s="560"/>
      <c r="I94" s="389">
        <f t="shared" ref="I94:I102" si="119">+(E94-F94)*$O$87</f>
        <v>97.573999999998776</v>
      </c>
      <c r="J94" s="379"/>
      <c r="K94" s="58"/>
      <c r="L94" s="58"/>
      <c r="M94" s="59"/>
      <c r="N94" s="71"/>
      <c r="O94" s="6"/>
      <c r="R94" s="46"/>
    </row>
    <row r="95" spans="1:19" ht="18" customHeight="1" x14ac:dyDescent="0.25">
      <c r="A95" s="11">
        <v>8</v>
      </c>
      <c r="B95" s="583" t="s">
        <v>84</v>
      </c>
      <c r="C95" s="584"/>
      <c r="D95" s="378" t="s">
        <v>56</v>
      </c>
      <c r="E95" s="63">
        <v>0.02</v>
      </c>
      <c r="F95" s="57">
        <f t="shared" ref="F93:F101" si="120">+G95/$O$87</f>
        <v>1.7245733044087094E-2</v>
      </c>
      <c r="G95" s="559">
        <v>3005</v>
      </c>
      <c r="H95" s="560"/>
      <c r="I95" s="389">
        <f t="shared" si="119"/>
        <v>479.92000000000024</v>
      </c>
      <c r="J95" s="379"/>
      <c r="K95" s="58"/>
      <c r="L95" s="58"/>
      <c r="M95" s="59"/>
      <c r="O95" s="45"/>
      <c r="P95" s="79"/>
      <c r="R95" s="46"/>
    </row>
    <row r="96" spans="1:19" ht="18" customHeight="1" x14ac:dyDescent="0.25">
      <c r="A96" s="11">
        <v>9</v>
      </c>
      <c r="B96" s="583" t="s">
        <v>64</v>
      </c>
      <c r="C96" s="584"/>
      <c r="D96" s="378" t="s">
        <v>56</v>
      </c>
      <c r="E96" s="158">
        <v>2.01E-2</v>
      </c>
      <c r="F96" s="57">
        <f t="shared" si="120"/>
        <v>1.0330222788471472E-2</v>
      </c>
      <c r="G96" s="559">
        <v>1800</v>
      </c>
      <c r="H96" s="560"/>
      <c r="I96" s="389">
        <f t="shared" si="119"/>
        <v>1702.3445999999999</v>
      </c>
      <c r="J96" s="379"/>
      <c r="K96" s="58"/>
      <c r="L96" s="58"/>
      <c r="M96" s="59"/>
      <c r="N96" s="64"/>
      <c r="O96" s="45"/>
      <c r="R96" s="46"/>
    </row>
    <row r="97" spans="1:18" ht="18" customHeight="1" x14ac:dyDescent="0.25">
      <c r="A97" s="11">
        <v>10</v>
      </c>
      <c r="B97" s="583" t="s">
        <v>65</v>
      </c>
      <c r="C97" s="584"/>
      <c r="D97" s="378" t="s">
        <v>56</v>
      </c>
      <c r="E97" s="32">
        <v>1.84</v>
      </c>
      <c r="F97" s="317">
        <f t="shared" si="120"/>
        <v>1.6918838882958576</v>
      </c>
      <c r="G97" s="574">
        <v>294804</v>
      </c>
      <c r="H97" s="575"/>
      <c r="I97" s="389">
        <f t="shared" si="119"/>
        <v>25808.640000000018</v>
      </c>
      <c r="J97" s="379"/>
      <c r="K97" s="589"/>
      <c r="L97" s="590"/>
      <c r="M97" s="591"/>
      <c r="N97" s="81"/>
      <c r="O97" s="6"/>
      <c r="R97" s="46"/>
    </row>
    <row r="98" spans="1:18" ht="18" customHeight="1" x14ac:dyDescent="0.25">
      <c r="A98" s="11">
        <v>11</v>
      </c>
      <c r="B98" s="583" t="s">
        <v>67</v>
      </c>
      <c r="C98" s="584"/>
      <c r="D98" s="378" t="s">
        <v>56</v>
      </c>
      <c r="E98" s="158">
        <v>7.6E-3</v>
      </c>
      <c r="F98" s="66">
        <f t="shared" si="120"/>
        <v>7.4607164583405071E-3</v>
      </c>
      <c r="G98" s="559">
        <v>1300</v>
      </c>
      <c r="H98" s="560"/>
      <c r="I98" s="389">
        <f t="shared" si="119"/>
        <v>24.269600000000001</v>
      </c>
      <c r="J98" s="379"/>
      <c r="K98" s="58"/>
      <c r="L98" s="58"/>
      <c r="M98" s="59"/>
      <c r="N98" s="64"/>
      <c r="O98" s="45"/>
      <c r="R98" s="46"/>
    </row>
    <row r="99" spans="1:18" ht="18" customHeight="1" x14ac:dyDescent="0.25">
      <c r="A99" s="11">
        <v>12</v>
      </c>
      <c r="B99" s="583" t="s">
        <v>68</v>
      </c>
      <c r="C99" s="584"/>
      <c r="D99" s="378" t="s">
        <v>62</v>
      </c>
      <c r="E99" s="63">
        <v>4.2999999999999997E-2</v>
      </c>
      <c r="F99" s="57">
        <f t="shared" si="120"/>
        <v>4.0173088621833497E-2</v>
      </c>
      <c r="G99" s="559">
        <v>7000</v>
      </c>
      <c r="H99" s="560"/>
      <c r="I99" s="389">
        <f t="shared" si="119"/>
        <v>492.57799999999986</v>
      </c>
      <c r="J99" s="379"/>
      <c r="K99" s="586"/>
      <c r="L99" s="587"/>
      <c r="M99" s="59"/>
      <c r="N99" s="64"/>
      <c r="O99" s="45"/>
      <c r="R99" s="46">
        <f>+O99-H99</f>
        <v>0</v>
      </c>
    </row>
    <row r="100" spans="1:18" ht="18" customHeight="1" x14ac:dyDescent="0.25">
      <c r="A100" s="11">
        <v>13</v>
      </c>
      <c r="B100" s="583" t="s">
        <v>69</v>
      </c>
      <c r="C100" s="584"/>
      <c r="D100" s="378" t="s">
        <v>62</v>
      </c>
      <c r="E100" s="158">
        <v>1.0699999999999999E-2</v>
      </c>
      <c r="F100" s="66">
        <f t="shared" si="120"/>
        <v>1.0904124054497664E-2</v>
      </c>
      <c r="G100" s="559">
        <v>1900</v>
      </c>
      <c r="H100" s="560"/>
      <c r="I100" s="389"/>
      <c r="J100" s="379">
        <f t="shared" ref="J100" si="121">+(F100-E100)*$O$87</f>
        <v>35.56780000000014</v>
      </c>
      <c r="K100" s="586" t="s">
        <v>437</v>
      </c>
      <c r="L100" s="587"/>
      <c r="M100" s="59"/>
      <c r="N100" s="64"/>
      <c r="O100" s="45"/>
      <c r="R100" s="46">
        <f>+O100-H100</f>
        <v>0</v>
      </c>
    </row>
    <row r="101" spans="1:18" ht="18" customHeight="1" x14ac:dyDescent="0.25">
      <c r="A101" s="11">
        <v>14</v>
      </c>
      <c r="B101" s="583" t="s">
        <v>71</v>
      </c>
      <c r="C101" s="584"/>
      <c r="D101" s="378" t="s">
        <v>62</v>
      </c>
      <c r="E101" s="63">
        <v>0.06</v>
      </c>
      <c r="F101" s="57">
        <f t="shared" si="120"/>
        <v>2.5825556971178679E-2</v>
      </c>
      <c r="G101" s="574">
        <v>4500</v>
      </c>
      <c r="H101" s="575"/>
      <c r="I101" s="389">
        <f t="shared" si="119"/>
        <v>5954.7599999999993</v>
      </c>
      <c r="J101" s="379"/>
      <c r="K101" s="588"/>
      <c r="L101" s="576"/>
      <c r="M101" s="577"/>
      <c r="O101" s="45"/>
      <c r="R101" s="46"/>
    </row>
    <row r="102" spans="1:18" ht="18" customHeight="1" x14ac:dyDescent="0.25">
      <c r="A102" s="11">
        <v>15</v>
      </c>
      <c r="B102" s="583" t="s">
        <v>72</v>
      </c>
      <c r="C102" s="584"/>
      <c r="D102" s="390" t="s">
        <v>62</v>
      </c>
      <c r="E102" s="158">
        <v>2.0999999999999999E-3</v>
      </c>
      <c r="F102" s="66">
        <f>+G102/$O$87</f>
        <v>2.0086544310916749E-3</v>
      </c>
      <c r="G102" s="574">
        <f>+[8]T8.2026!$I$301</f>
        <v>350</v>
      </c>
      <c r="H102" s="575"/>
      <c r="I102" s="389">
        <f t="shared" si="119"/>
        <v>15.916600000000001</v>
      </c>
      <c r="J102" s="391"/>
      <c r="K102" s="588"/>
      <c r="L102" s="576"/>
      <c r="M102" s="577"/>
      <c r="O102" s="45"/>
      <c r="R102" s="46"/>
    </row>
    <row r="103" spans="1:18" ht="32.25" hidden="1" customHeight="1" x14ac:dyDescent="0.25">
      <c r="A103" s="657" t="s">
        <v>312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O103" s="45"/>
      <c r="R103" s="46"/>
    </row>
    <row r="104" spans="1:18" ht="18" customHeight="1" x14ac:dyDescent="0.25">
      <c r="A104" s="2" t="s">
        <v>313</v>
      </c>
      <c r="B104" s="39"/>
      <c r="C104" s="39"/>
      <c r="D104" s="39"/>
      <c r="E104" s="40"/>
      <c r="F104" s="41"/>
      <c r="G104" s="42"/>
      <c r="H104" s="42"/>
      <c r="I104" s="43"/>
      <c r="J104" s="44"/>
      <c r="K104" s="2"/>
      <c r="L104" s="2"/>
      <c r="M104" s="7"/>
      <c r="N104" s="18" t="s">
        <v>181</v>
      </c>
      <c r="O104" s="48">
        <v>5671.5</v>
      </c>
      <c r="R104" s="46"/>
    </row>
    <row r="105" spans="1:18" ht="21" customHeight="1" x14ac:dyDescent="0.25">
      <c r="A105" s="370" t="s">
        <v>47</v>
      </c>
      <c r="B105" s="524" t="s">
        <v>48</v>
      </c>
      <c r="C105" s="524"/>
      <c r="D105" s="370" t="s">
        <v>17</v>
      </c>
      <c r="E105" s="370" t="s">
        <v>49</v>
      </c>
      <c r="F105" s="370" t="s">
        <v>50</v>
      </c>
      <c r="G105" s="528" t="s">
        <v>51</v>
      </c>
      <c r="H105" s="529"/>
      <c r="I105" s="370" t="s">
        <v>52</v>
      </c>
      <c r="J105" s="371" t="s">
        <v>53</v>
      </c>
      <c r="K105" s="528" t="s">
        <v>35</v>
      </c>
      <c r="L105" s="557"/>
      <c r="M105" s="529"/>
      <c r="N105" s="47" t="s">
        <v>54</v>
      </c>
      <c r="O105" s="48">
        <f>+H82</f>
        <v>270411.2</v>
      </c>
      <c r="P105" s="47" t="s">
        <v>13</v>
      </c>
      <c r="Q105" s="47">
        <v>1296</v>
      </c>
      <c r="R105" s="46"/>
    </row>
    <row r="106" spans="1:18" ht="27.75" customHeight="1" x14ac:dyDescent="0.25">
      <c r="A106" s="11">
        <v>1</v>
      </c>
      <c r="B106" s="572" t="s">
        <v>55</v>
      </c>
      <c r="C106" s="572"/>
      <c r="D106" s="380" t="s">
        <v>56</v>
      </c>
      <c r="E106" s="32">
        <v>21.01</v>
      </c>
      <c r="F106" s="51">
        <f>+G106/$O$105</f>
        <v>20.220681230260396</v>
      </c>
      <c r="G106" s="559">
        <v>5467898.6762921903</v>
      </c>
      <c r="H106" s="560"/>
      <c r="I106" s="159">
        <f>+(E106-F106)*$O$105</f>
        <v>213440.63570781032</v>
      </c>
      <c r="J106" s="379">
        <v>0</v>
      </c>
      <c r="K106" s="561" t="s">
        <v>469</v>
      </c>
      <c r="L106" s="562"/>
      <c r="M106" s="563"/>
      <c r="N106" s="54" t="s">
        <v>58</v>
      </c>
      <c r="O106" s="55" t="s">
        <v>337</v>
      </c>
      <c r="P106" s="55"/>
      <c r="Q106" s="55"/>
      <c r="R106" s="46"/>
    </row>
    <row r="107" spans="1:18" ht="15.75" customHeight="1" x14ac:dyDescent="0.25">
      <c r="A107" s="11">
        <v>2</v>
      </c>
      <c r="B107" s="572" t="s">
        <v>59</v>
      </c>
      <c r="C107" s="572"/>
      <c r="D107" s="380" t="s">
        <v>56</v>
      </c>
      <c r="E107" s="63">
        <v>0.50700000000000001</v>
      </c>
      <c r="F107" s="57">
        <f t="shared" ref="F107:F117" si="122">+G107/$O$105</f>
        <v>0.44694746371452065</v>
      </c>
      <c r="G107" s="559">
        <v>120859.59999999999</v>
      </c>
      <c r="H107" s="560"/>
      <c r="I107" s="159">
        <f>+(E107-F107)*$O$105</f>
        <v>16238.878400000014</v>
      </c>
      <c r="J107" s="379">
        <v>0</v>
      </c>
      <c r="K107" s="58"/>
      <c r="L107" s="58"/>
      <c r="M107" s="59"/>
      <c r="N107" s="54"/>
      <c r="O107" s="55"/>
      <c r="P107" s="55"/>
      <c r="Q107" s="60"/>
      <c r="R107" s="46"/>
    </row>
    <row r="108" spans="1:18" ht="15.75" customHeight="1" x14ac:dyDescent="0.25">
      <c r="A108" s="11">
        <v>3</v>
      </c>
      <c r="B108" s="572" t="s">
        <v>60</v>
      </c>
      <c r="C108" s="572"/>
      <c r="D108" s="380" t="s">
        <v>56</v>
      </c>
      <c r="E108" s="63">
        <v>0.47799999999999998</v>
      </c>
      <c r="F108" s="51">
        <f t="shared" si="122"/>
        <v>0.41384121663599738</v>
      </c>
      <c r="G108" s="559">
        <v>111907.30000000002</v>
      </c>
      <c r="H108" s="560"/>
      <c r="I108" s="159">
        <f t="shared" ref="I108:I118" si="123">+(E108-F108)*$O$105</f>
        <v>17349.253599999982</v>
      </c>
      <c r="J108" s="379">
        <v>0</v>
      </c>
      <c r="K108" s="58"/>
      <c r="L108" s="58"/>
      <c r="M108" s="61"/>
      <c r="O108" s="45"/>
      <c r="R108" s="46"/>
    </row>
    <row r="109" spans="1:18" ht="15.75" customHeight="1" x14ac:dyDescent="0.25">
      <c r="A109" s="11">
        <v>4</v>
      </c>
      <c r="B109" s="572" t="s">
        <v>315</v>
      </c>
      <c r="C109" s="572"/>
      <c r="D109" s="380" t="s">
        <v>56</v>
      </c>
      <c r="E109" s="63">
        <v>0.35399999999999998</v>
      </c>
      <c r="F109" s="57">
        <f>+G109/$O$105</f>
        <v>0</v>
      </c>
      <c r="G109" s="559"/>
      <c r="H109" s="560"/>
      <c r="I109" s="159">
        <v>0</v>
      </c>
      <c r="J109" s="379">
        <v>0</v>
      </c>
      <c r="K109" s="58"/>
      <c r="L109" s="58"/>
      <c r="M109" s="59"/>
      <c r="N109" s="54"/>
      <c r="O109" s="55"/>
      <c r="P109" s="55"/>
      <c r="Q109" s="60"/>
      <c r="R109" s="46"/>
    </row>
    <row r="110" spans="1:18" ht="15.75" customHeight="1" x14ac:dyDescent="0.25">
      <c r="A110" s="11">
        <v>5</v>
      </c>
      <c r="B110" s="572" t="s">
        <v>316</v>
      </c>
      <c r="C110" s="572"/>
      <c r="D110" s="380" t="s">
        <v>56</v>
      </c>
      <c r="E110" s="63">
        <v>0.33200000000000002</v>
      </c>
      <c r="F110" s="57">
        <f>+G110/$O$105</f>
        <v>0</v>
      </c>
      <c r="G110" s="559"/>
      <c r="H110" s="560"/>
      <c r="I110" s="159">
        <f t="shared" si="123"/>
        <v>89776.518400000015</v>
      </c>
      <c r="J110" s="379">
        <v>0</v>
      </c>
      <c r="K110" s="58"/>
      <c r="L110" s="58"/>
      <c r="M110" s="61"/>
      <c r="O110" s="45"/>
      <c r="R110" s="46"/>
    </row>
    <row r="111" spans="1:18" ht="15.75" customHeight="1" x14ac:dyDescent="0.25">
      <c r="A111" s="11">
        <v>6</v>
      </c>
      <c r="B111" s="572" t="s">
        <v>61</v>
      </c>
      <c r="C111" s="572"/>
      <c r="D111" s="380" t="s">
        <v>62</v>
      </c>
      <c r="E111" s="63">
        <v>0.627</v>
      </c>
      <c r="F111" s="57">
        <f t="shared" si="122"/>
        <v>0.62698956256249738</v>
      </c>
      <c r="G111" s="559">
        <v>169545</v>
      </c>
      <c r="H111" s="560"/>
      <c r="I111" s="159">
        <f t="shared" si="123"/>
        <v>2.8224000000083409</v>
      </c>
      <c r="J111" s="379">
        <v>0</v>
      </c>
      <c r="K111" s="570"/>
      <c r="L111" s="571"/>
      <c r="M111" s="551"/>
      <c r="N111" s="64"/>
      <c r="O111" s="169" t="e">
        <f>+O105+#REF!+Q105+#REF!</f>
        <v>#REF!</v>
      </c>
      <c r="P111" s="170"/>
      <c r="R111" s="46"/>
    </row>
    <row r="112" spans="1:18" ht="15.75" customHeight="1" x14ac:dyDescent="0.25">
      <c r="A112" s="11">
        <v>7</v>
      </c>
      <c r="B112" s="572" t="s">
        <v>63</v>
      </c>
      <c r="C112" s="572"/>
      <c r="D112" s="380" t="s">
        <v>56</v>
      </c>
      <c r="E112" s="63">
        <v>2.5000000000000001E-2</v>
      </c>
      <c r="F112" s="51">
        <f t="shared" si="122"/>
        <v>2.4980474181542776E-2</v>
      </c>
      <c r="G112" s="559">
        <v>6755</v>
      </c>
      <c r="H112" s="560"/>
      <c r="I112" s="159">
        <f t="shared" si="123"/>
        <v>5.2800000000003635</v>
      </c>
      <c r="J112" s="379">
        <v>0</v>
      </c>
      <c r="K112" s="570"/>
      <c r="L112" s="571"/>
      <c r="M112" s="551"/>
      <c r="N112" s="64"/>
      <c r="O112" s="171">
        <f>+O116</f>
        <v>0</v>
      </c>
      <c r="P112" s="60"/>
      <c r="R112" s="46"/>
    </row>
    <row r="113" spans="1:18" ht="15.75" customHeight="1" x14ac:dyDescent="0.25">
      <c r="A113" s="11">
        <v>8</v>
      </c>
      <c r="B113" s="572" t="s">
        <v>64</v>
      </c>
      <c r="C113" s="572"/>
      <c r="D113" s="380" t="s">
        <v>56</v>
      </c>
      <c r="E113" s="158">
        <v>1.09E-2</v>
      </c>
      <c r="F113" s="66">
        <f t="shared" si="122"/>
        <v>1.081685965670061E-2</v>
      </c>
      <c r="G113" s="559">
        <v>2925</v>
      </c>
      <c r="H113" s="560"/>
      <c r="I113" s="159">
        <f t="shared" si="123"/>
        <v>22.48207999999989</v>
      </c>
      <c r="J113" s="379">
        <v>0</v>
      </c>
      <c r="K113" s="58"/>
      <c r="L113" s="58"/>
      <c r="M113" s="59"/>
      <c r="O113" s="45"/>
      <c r="R113" s="46"/>
    </row>
    <row r="114" spans="1:18" ht="15.75" customHeight="1" x14ac:dyDescent="0.25">
      <c r="A114" s="11">
        <v>9</v>
      </c>
      <c r="B114" s="572" t="s">
        <v>65</v>
      </c>
      <c r="C114" s="572"/>
      <c r="D114" s="380" t="s">
        <v>56</v>
      </c>
      <c r="E114" s="32">
        <v>1.79</v>
      </c>
      <c r="F114" s="51">
        <f t="shared" si="122"/>
        <v>1.6498798866319146</v>
      </c>
      <c r="G114" s="578">
        <v>446146</v>
      </c>
      <c r="H114" s="579"/>
      <c r="I114" s="159">
        <f t="shared" si="123"/>
        <v>37890.04800000001</v>
      </c>
      <c r="J114" s="379">
        <v>0</v>
      </c>
      <c r="K114" s="580"/>
      <c r="L114" s="581"/>
      <c r="M114" s="582"/>
      <c r="O114" s="45"/>
      <c r="R114" s="46"/>
    </row>
    <row r="115" spans="1:18" ht="15.75" customHeight="1" x14ac:dyDescent="0.25">
      <c r="A115" s="11">
        <v>10</v>
      </c>
      <c r="B115" s="572" t="s">
        <v>67</v>
      </c>
      <c r="C115" s="572"/>
      <c r="D115" s="380" t="s">
        <v>56</v>
      </c>
      <c r="E115" s="158">
        <v>8.2000000000000007E-3</v>
      </c>
      <c r="F115" s="66">
        <f t="shared" si="122"/>
        <v>8.1357576905098598E-3</v>
      </c>
      <c r="G115" s="559">
        <v>2200</v>
      </c>
      <c r="H115" s="560"/>
      <c r="I115" s="159">
        <f t="shared" si="123"/>
        <v>17.371840000000397</v>
      </c>
      <c r="J115" s="379">
        <v>0</v>
      </c>
      <c r="K115" s="58"/>
      <c r="L115" s="58"/>
      <c r="M115" s="59"/>
      <c r="O115" s="318">
        <f>+O105/G117</f>
        <v>61.457090909090908</v>
      </c>
      <c r="R115" s="46"/>
    </row>
    <row r="116" spans="1:18" ht="15.75" customHeight="1" x14ac:dyDescent="0.25">
      <c r="A116" s="11">
        <v>11</v>
      </c>
      <c r="B116" s="572" t="s">
        <v>68</v>
      </c>
      <c r="C116" s="572"/>
      <c r="D116" s="380" t="s">
        <v>62</v>
      </c>
      <c r="E116" s="63">
        <v>6.4000000000000001E-2</v>
      </c>
      <c r="F116" s="57">
        <f t="shared" si="122"/>
        <v>6.3606832853077083E-2</v>
      </c>
      <c r="G116" s="559">
        <v>17200</v>
      </c>
      <c r="H116" s="560"/>
      <c r="I116" s="159">
        <f t="shared" si="123"/>
        <v>106.3168000000026</v>
      </c>
      <c r="J116" s="379">
        <v>0</v>
      </c>
      <c r="K116" s="58"/>
      <c r="L116" s="58"/>
      <c r="M116" s="59"/>
      <c r="O116" s="45"/>
      <c r="R116" s="46"/>
    </row>
    <row r="117" spans="1:18" ht="15.75" customHeight="1" x14ac:dyDescent="0.25">
      <c r="A117" s="11">
        <v>12</v>
      </c>
      <c r="B117" s="572" t="s">
        <v>69</v>
      </c>
      <c r="C117" s="572"/>
      <c r="D117" s="380" t="s">
        <v>62</v>
      </c>
      <c r="E117" s="158">
        <v>1.5900000000000001E-2</v>
      </c>
      <c r="F117" s="66">
        <f t="shared" si="122"/>
        <v>1.627151538101972E-2</v>
      </c>
      <c r="G117" s="559">
        <v>4400</v>
      </c>
      <c r="H117" s="560"/>
      <c r="I117" s="159"/>
      <c r="J117" s="379">
        <f>+(F117-E117)*$O$105</f>
        <v>100.46191999999934</v>
      </c>
      <c r="K117" s="573" t="s">
        <v>463</v>
      </c>
      <c r="L117" s="573"/>
      <c r="M117" s="59"/>
      <c r="N117" s="64"/>
      <c r="O117" s="45"/>
      <c r="R117" s="46"/>
    </row>
    <row r="118" spans="1:18" ht="16.5" customHeight="1" x14ac:dyDescent="0.25">
      <c r="A118" s="11">
        <v>13</v>
      </c>
      <c r="B118" s="572" t="s">
        <v>71</v>
      </c>
      <c r="C118" s="572"/>
      <c r="D118" s="380" t="s">
        <v>56</v>
      </c>
      <c r="E118" s="63">
        <v>4.3999999999999997E-2</v>
      </c>
      <c r="F118" s="57">
        <f>+G118/$O$105</f>
        <v>4.5486281633305127E-2</v>
      </c>
      <c r="G118" s="574">
        <v>12300</v>
      </c>
      <c r="H118" s="575"/>
      <c r="I118" s="159"/>
      <c r="J118" s="403">
        <f t="shared" ref="J118:J119" si="124">+(F118-E118)*$O$105</f>
        <v>401.90720000000005</v>
      </c>
      <c r="K118" s="561"/>
      <c r="L118" s="576"/>
      <c r="M118" s="577"/>
      <c r="O118" s="45"/>
      <c r="R118" s="46"/>
    </row>
    <row r="119" spans="1:18" ht="15.75" customHeight="1" x14ac:dyDescent="0.25">
      <c r="A119" s="11">
        <v>14</v>
      </c>
      <c r="B119" s="638" t="s">
        <v>72</v>
      </c>
      <c r="C119" s="639"/>
      <c r="D119" s="380" t="s">
        <v>56</v>
      </c>
      <c r="E119" s="158">
        <v>2.5999999999999999E-3</v>
      </c>
      <c r="F119" s="66">
        <f>+G119/$O$105</f>
        <v>4.2527824291301542E-3</v>
      </c>
      <c r="G119" s="574">
        <v>1150</v>
      </c>
      <c r="H119" s="575"/>
      <c r="I119" s="52"/>
      <c r="J119" s="391">
        <f t="shared" si="124"/>
        <v>446.93088</v>
      </c>
      <c r="K119" s="67"/>
      <c r="L119" s="67"/>
      <c r="M119" s="68"/>
      <c r="O119" s="45"/>
      <c r="R119" s="46"/>
    </row>
    <row r="120" spans="1:18" ht="18.75" customHeight="1" x14ac:dyDescent="0.25">
      <c r="A120" s="1" t="s">
        <v>90</v>
      </c>
      <c r="B120" s="7"/>
      <c r="C120" s="7"/>
      <c r="D120" s="7"/>
      <c r="E120" s="7"/>
      <c r="F120" s="7"/>
      <c r="G120" s="7"/>
      <c r="J120" s="7"/>
      <c r="K120" s="7"/>
      <c r="L120" s="7"/>
      <c r="M120" s="7"/>
    </row>
    <row r="121" spans="1:18" ht="18" customHeight="1" x14ac:dyDescent="0.25">
      <c r="A121" s="593" t="s">
        <v>91</v>
      </c>
      <c r="B121" s="594"/>
      <c r="C121" s="595"/>
      <c r="D121" s="371" t="s">
        <v>92</v>
      </c>
      <c r="E121" s="371" t="s">
        <v>93</v>
      </c>
      <c r="F121" s="371" t="s">
        <v>94</v>
      </c>
      <c r="G121" s="371" t="s">
        <v>95</v>
      </c>
      <c r="H121" s="400" t="s">
        <v>227</v>
      </c>
      <c r="I121" s="400" t="s">
        <v>464</v>
      </c>
      <c r="J121" s="371" t="s">
        <v>97</v>
      </c>
      <c r="K121" s="593" t="s">
        <v>35</v>
      </c>
      <c r="L121" s="594"/>
      <c r="M121" s="595"/>
      <c r="N121" s="160" t="s">
        <v>181</v>
      </c>
      <c r="P121">
        <f>14*3</f>
        <v>42</v>
      </c>
    </row>
    <row r="122" spans="1:18" ht="18" customHeight="1" x14ac:dyDescent="0.25">
      <c r="A122" s="376">
        <v>1</v>
      </c>
      <c r="B122" s="596" t="s">
        <v>187</v>
      </c>
      <c r="C122" s="596"/>
      <c r="D122" s="377">
        <v>3</v>
      </c>
      <c r="E122" s="377">
        <v>3</v>
      </c>
      <c r="F122" s="377"/>
      <c r="G122" s="92"/>
      <c r="H122" s="93"/>
      <c r="I122" s="93"/>
      <c r="J122" s="377">
        <f>+E122+F122-G122-H122</f>
        <v>3</v>
      </c>
      <c r="K122" s="593"/>
      <c r="L122" s="594"/>
      <c r="M122" s="595"/>
    </row>
    <row r="123" spans="1:18" ht="18" customHeight="1" x14ac:dyDescent="0.25">
      <c r="A123" s="376">
        <v>2</v>
      </c>
      <c r="B123" s="596" t="s">
        <v>99</v>
      </c>
      <c r="C123" s="596"/>
      <c r="D123" s="377">
        <v>5</v>
      </c>
      <c r="E123" s="377">
        <v>5</v>
      </c>
      <c r="F123" s="52"/>
      <c r="G123" s="93"/>
      <c r="H123" s="397">
        <v>0</v>
      </c>
      <c r="I123" s="397"/>
      <c r="J123" s="377">
        <f t="shared" ref="J123:J128" si="125">+E123+F123-G123-H123</f>
        <v>5</v>
      </c>
      <c r="K123" s="593"/>
      <c r="L123" s="594"/>
      <c r="M123" s="595"/>
    </row>
    <row r="124" spans="1:18" ht="18" customHeight="1" x14ac:dyDescent="0.25">
      <c r="A124" s="376">
        <v>3</v>
      </c>
      <c r="B124" s="596" t="s">
        <v>100</v>
      </c>
      <c r="C124" s="596"/>
      <c r="D124" s="377">
        <v>25</v>
      </c>
      <c r="E124" s="377">
        <v>25</v>
      </c>
      <c r="F124" s="377">
        <v>0</v>
      </c>
      <c r="G124" s="377">
        <v>1</v>
      </c>
      <c r="H124" s="92"/>
      <c r="I124" s="92">
        <v>1</v>
      </c>
      <c r="J124" s="377">
        <f>+E124+F124+I124-G124-H124</f>
        <v>25</v>
      </c>
      <c r="K124" s="593"/>
      <c r="L124" s="594"/>
      <c r="M124" s="595"/>
    </row>
    <row r="125" spans="1:18" ht="18" customHeight="1" x14ac:dyDescent="0.25">
      <c r="A125" s="376">
        <v>4</v>
      </c>
      <c r="B125" s="596" t="s">
        <v>101</v>
      </c>
      <c r="C125" s="596"/>
      <c r="D125" s="377">
        <v>27</v>
      </c>
      <c r="E125" s="377">
        <v>28</v>
      </c>
      <c r="F125" s="377"/>
      <c r="G125" s="92"/>
      <c r="H125" s="399"/>
      <c r="I125" s="398"/>
      <c r="J125" s="377">
        <f>+E125-H125</f>
        <v>28</v>
      </c>
      <c r="K125" s="600"/>
      <c r="L125" s="601"/>
      <c r="M125" s="602"/>
    </row>
    <row r="126" spans="1:18" ht="18" customHeight="1" x14ac:dyDescent="0.25">
      <c r="A126" s="376">
        <v>5</v>
      </c>
      <c r="B126" s="596" t="s">
        <v>102</v>
      </c>
      <c r="C126" s="596"/>
      <c r="D126" s="377">
        <v>43</v>
      </c>
      <c r="E126" s="377">
        <v>36</v>
      </c>
      <c r="F126" s="377">
        <v>7</v>
      </c>
      <c r="G126" s="92">
        <v>4</v>
      </c>
      <c r="H126" s="399">
        <v>2</v>
      </c>
      <c r="I126" s="399"/>
      <c r="J126" s="377">
        <f>+E126+F126-G126-H126</f>
        <v>37</v>
      </c>
      <c r="K126" s="593"/>
      <c r="L126" s="594"/>
      <c r="M126" s="595"/>
    </row>
    <row r="127" spans="1:18" ht="18" customHeight="1" x14ac:dyDescent="0.25">
      <c r="A127" s="376">
        <v>6</v>
      </c>
      <c r="B127" s="596" t="s">
        <v>103</v>
      </c>
      <c r="C127" s="596"/>
      <c r="D127" s="377">
        <v>6</v>
      </c>
      <c r="E127" s="377">
        <v>6</v>
      </c>
      <c r="F127" s="377"/>
      <c r="G127" s="377"/>
      <c r="H127" s="92"/>
      <c r="I127" s="92"/>
      <c r="J127" s="377">
        <f t="shared" si="125"/>
        <v>6</v>
      </c>
      <c r="K127" s="593"/>
      <c r="L127" s="594"/>
      <c r="M127" s="595"/>
    </row>
    <row r="128" spans="1:18" ht="18" customHeight="1" x14ac:dyDescent="0.25">
      <c r="A128" s="376">
        <v>7</v>
      </c>
      <c r="B128" s="596" t="s">
        <v>104</v>
      </c>
      <c r="C128" s="596"/>
      <c r="D128" s="377">
        <v>1</v>
      </c>
      <c r="E128" s="377">
        <v>1</v>
      </c>
      <c r="F128" s="377"/>
      <c r="G128" s="92"/>
      <c r="H128" s="92"/>
      <c r="I128" s="92"/>
      <c r="J128" s="377">
        <f t="shared" si="125"/>
        <v>1</v>
      </c>
      <c r="K128" s="593"/>
      <c r="L128" s="594"/>
      <c r="M128" s="595"/>
    </row>
    <row r="129" spans="1:15" ht="18" customHeight="1" x14ac:dyDescent="0.25">
      <c r="A129" s="593" t="s">
        <v>105</v>
      </c>
      <c r="B129" s="594"/>
      <c r="C129" s="595"/>
      <c r="D129" s="94">
        <f>SUM(D122:D128)</f>
        <v>110</v>
      </c>
      <c r="E129" s="94">
        <f>SUM(E122:E128)</f>
        <v>104</v>
      </c>
      <c r="F129" s="95">
        <f t="shared" ref="F129:I129" si="126">SUM(F122:F128)</f>
        <v>7</v>
      </c>
      <c r="G129" s="96">
        <f t="shared" si="126"/>
        <v>5</v>
      </c>
      <c r="H129" s="401">
        <f t="shared" si="126"/>
        <v>2</v>
      </c>
      <c r="I129" s="401">
        <f t="shared" si="126"/>
        <v>1</v>
      </c>
      <c r="J129" s="94">
        <f>SUM(J122:J128)</f>
        <v>105</v>
      </c>
      <c r="K129" s="593"/>
      <c r="L129" s="594"/>
      <c r="M129" s="595"/>
    </row>
    <row r="130" spans="1:15" ht="18.75" customHeight="1" x14ac:dyDescent="0.25">
      <c r="A130" s="88" t="s">
        <v>431</v>
      </c>
      <c r="B130" s="367"/>
      <c r="C130" s="367"/>
      <c r="D130" s="98"/>
      <c r="E130" s="98"/>
      <c r="F130" s="99"/>
      <c r="G130" s="100"/>
      <c r="H130" s="101"/>
      <c r="I130" s="101"/>
      <c r="J130" s="98"/>
      <c r="K130" s="367"/>
      <c r="L130" s="367"/>
      <c r="M130" s="367"/>
    </row>
    <row r="131" spans="1:15" ht="31.5" customHeight="1" x14ac:dyDescent="0.25">
      <c r="A131" s="102"/>
      <c r="B131" s="375" t="s">
        <v>47</v>
      </c>
      <c r="C131" s="608" t="s">
        <v>107</v>
      </c>
      <c r="D131" s="608"/>
      <c r="E131" s="375" t="s">
        <v>108</v>
      </c>
      <c r="F131" s="375" t="s">
        <v>109</v>
      </c>
      <c r="G131" s="375" t="s">
        <v>110</v>
      </c>
      <c r="H131" s="608" t="s">
        <v>111</v>
      </c>
      <c r="I131" s="608"/>
      <c r="J131" s="608" t="s">
        <v>112</v>
      </c>
      <c r="K131" s="608"/>
      <c r="L131" s="608"/>
      <c r="M131" s="608"/>
      <c r="N131" s="161" t="s">
        <v>181</v>
      </c>
    </row>
    <row r="132" spans="1:15" ht="16.5" customHeight="1" x14ac:dyDescent="0.25">
      <c r="A132" s="609"/>
      <c r="B132" s="104">
        <v>1</v>
      </c>
      <c r="C132" s="701" t="s">
        <v>438</v>
      </c>
      <c r="D132" s="702"/>
      <c r="E132" s="67" t="s">
        <v>439</v>
      </c>
      <c r="F132" s="106" t="s">
        <v>129</v>
      </c>
      <c r="G132" s="162">
        <v>225.6</v>
      </c>
      <c r="H132" s="612" t="s">
        <v>440</v>
      </c>
      <c r="I132" s="613"/>
      <c r="J132" s="614"/>
      <c r="K132" s="614"/>
      <c r="L132" s="614"/>
      <c r="M132" s="614"/>
    </row>
    <row r="133" spans="1:15" ht="16.5" customHeight="1" x14ac:dyDescent="0.25">
      <c r="A133" s="609"/>
      <c r="B133" s="104">
        <v>2</v>
      </c>
      <c r="C133" s="701" t="s">
        <v>441</v>
      </c>
      <c r="D133" s="702"/>
      <c r="E133" s="67" t="s">
        <v>442</v>
      </c>
      <c r="F133" s="106">
        <v>45726</v>
      </c>
      <c r="G133" s="162">
        <v>270</v>
      </c>
      <c r="H133" s="612" t="s">
        <v>130</v>
      </c>
      <c r="I133" s="613"/>
      <c r="J133" s="612"/>
      <c r="K133" s="659"/>
      <c r="L133" s="659"/>
      <c r="M133" s="613"/>
      <c r="O133">
        <f>99/2</f>
        <v>49.5</v>
      </c>
    </row>
    <row r="134" spans="1:15" ht="16.5" customHeight="1" x14ac:dyDescent="0.25">
      <c r="A134" s="609"/>
      <c r="B134" s="104">
        <v>3</v>
      </c>
      <c r="C134" s="701" t="s">
        <v>443</v>
      </c>
      <c r="D134" s="702"/>
      <c r="E134" s="67" t="s">
        <v>444</v>
      </c>
      <c r="F134" s="106" t="s">
        <v>445</v>
      </c>
      <c r="G134" s="162">
        <v>25</v>
      </c>
      <c r="H134" s="612" t="s">
        <v>130</v>
      </c>
      <c r="I134" s="613"/>
      <c r="J134" s="614"/>
      <c r="K134" s="614"/>
      <c r="L134" s="614"/>
      <c r="M134" s="614"/>
      <c r="O134">
        <f>+O133/3</f>
        <v>16.5</v>
      </c>
    </row>
    <row r="135" spans="1:15" ht="16.5" customHeight="1" x14ac:dyDescent="0.25">
      <c r="A135" s="609"/>
      <c r="B135" s="104">
        <v>4</v>
      </c>
      <c r="C135" s="701" t="s">
        <v>195</v>
      </c>
      <c r="D135" s="702"/>
      <c r="E135" s="67" t="s">
        <v>199</v>
      </c>
      <c r="F135" s="106" t="s">
        <v>446</v>
      </c>
      <c r="G135" s="162">
        <v>192</v>
      </c>
      <c r="H135" s="612" t="s">
        <v>415</v>
      </c>
      <c r="I135" s="613"/>
      <c r="J135" s="612"/>
      <c r="K135" s="659"/>
      <c r="L135" s="659"/>
      <c r="M135" s="613"/>
    </row>
    <row r="136" spans="1:15" ht="16.5" customHeight="1" x14ac:dyDescent="0.25">
      <c r="A136" s="609"/>
      <c r="B136" s="104">
        <v>5</v>
      </c>
      <c r="C136" s="701" t="s">
        <v>229</v>
      </c>
      <c r="D136" s="702"/>
      <c r="E136" s="67" t="s">
        <v>230</v>
      </c>
      <c r="F136" s="106" t="s">
        <v>231</v>
      </c>
      <c r="G136" s="162">
        <v>529.6</v>
      </c>
      <c r="H136" s="612" t="s">
        <v>447</v>
      </c>
      <c r="I136" s="613"/>
      <c r="J136" s="614"/>
      <c r="K136" s="614"/>
      <c r="L136" s="614"/>
      <c r="M136" s="614"/>
    </row>
    <row r="137" spans="1:15" ht="30.75" customHeight="1" x14ac:dyDescent="0.25">
      <c r="A137" s="609"/>
      <c r="B137" s="104">
        <v>6</v>
      </c>
      <c r="C137" s="701" t="s">
        <v>236</v>
      </c>
      <c r="D137" s="702"/>
      <c r="E137" s="67" t="s">
        <v>398</v>
      </c>
      <c r="F137" s="106" t="s">
        <v>448</v>
      </c>
      <c r="G137" s="162">
        <v>300</v>
      </c>
      <c r="H137" s="612" t="s">
        <v>449</v>
      </c>
      <c r="I137" s="613"/>
      <c r="J137" s="612"/>
      <c r="K137" s="659"/>
      <c r="L137" s="659"/>
      <c r="M137" s="613"/>
    </row>
    <row r="138" spans="1:15" ht="16.5" customHeight="1" x14ac:dyDescent="0.25">
      <c r="A138" s="609"/>
      <c r="B138" s="104">
        <v>7</v>
      </c>
      <c r="C138" s="610" t="s">
        <v>117</v>
      </c>
      <c r="D138" s="611"/>
      <c r="E138" s="67" t="s">
        <v>193</v>
      </c>
      <c r="F138" s="106" t="s">
        <v>450</v>
      </c>
      <c r="G138" s="162">
        <v>92.8</v>
      </c>
      <c r="H138" s="612" t="s">
        <v>440</v>
      </c>
      <c r="I138" s="613"/>
      <c r="J138" s="614"/>
      <c r="K138" s="614"/>
      <c r="L138" s="614"/>
      <c r="M138" s="614"/>
    </row>
    <row r="139" spans="1:15" ht="16.5" customHeight="1" x14ac:dyDescent="0.25">
      <c r="A139" s="609"/>
      <c r="B139" s="104">
        <v>8</v>
      </c>
      <c r="C139" s="615"/>
      <c r="D139" s="616"/>
      <c r="E139" s="67" t="s">
        <v>451</v>
      </c>
      <c r="F139" s="106" t="s">
        <v>452</v>
      </c>
      <c r="G139" s="162">
        <v>3.2</v>
      </c>
      <c r="H139" s="612" t="s">
        <v>282</v>
      </c>
      <c r="I139" s="613"/>
      <c r="J139" s="612"/>
      <c r="K139" s="659"/>
      <c r="L139" s="659"/>
      <c r="M139" s="613"/>
    </row>
    <row r="140" spans="1:15" ht="16.5" customHeight="1" x14ac:dyDescent="0.25">
      <c r="A140" s="609"/>
      <c r="B140" s="104">
        <v>9</v>
      </c>
      <c r="C140" s="615"/>
      <c r="D140" s="616"/>
      <c r="E140" s="67" t="s">
        <v>118</v>
      </c>
      <c r="F140" s="106" t="s">
        <v>453</v>
      </c>
      <c r="G140" s="162">
        <v>208</v>
      </c>
      <c r="H140" s="612" t="s">
        <v>282</v>
      </c>
      <c r="I140" s="613"/>
      <c r="J140" s="614"/>
      <c r="K140" s="614"/>
      <c r="L140" s="614"/>
      <c r="M140" s="614"/>
    </row>
    <row r="141" spans="1:15" ht="16.5" customHeight="1" x14ac:dyDescent="0.25">
      <c r="A141" s="609"/>
      <c r="B141" s="104">
        <v>10</v>
      </c>
      <c r="C141" s="617"/>
      <c r="D141" s="618"/>
      <c r="E141" s="67" t="s">
        <v>454</v>
      </c>
      <c r="F141" s="106" t="s">
        <v>455</v>
      </c>
      <c r="G141" s="162">
        <v>339.2</v>
      </c>
      <c r="H141" s="612" t="s">
        <v>440</v>
      </c>
      <c r="I141" s="613"/>
      <c r="J141" s="612"/>
      <c r="K141" s="659"/>
      <c r="L141" s="659"/>
      <c r="M141" s="613"/>
    </row>
    <row r="142" spans="1:15" ht="16.5" customHeight="1" x14ac:dyDescent="0.25">
      <c r="A142" s="388"/>
      <c r="B142" s="104">
        <v>11</v>
      </c>
      <c r="C142" s="610" t="s">
        <v>456</v>
      </c>
      <c r="D142" s="611"/>
      <c r="E142" s="67" t="s">
        <v>457</v>
      </c>
      <c r="F142" s="106" t="s">
        <v>399</v>
      </c>
      <c r="G142" s="162">
        <v>3.2</v>
      </c>
      <c r="H142" s="612" t="s">
        <v>130</v>
      </c>
      <c r="I142" s="613"/>
      <c r="J142" s="614"/>
      <c r="K142" s="614"/>
      <c r="L142" s="614"/>
      <c r="M142" s="614"/>
    </row>
    <row r="143" spans="1:15" ht="16.5" customHeight="1" x14ac:dyDescent="0.25">
      <c r="A143" s="609"/>
      <c r="B143" s="104">
        <v>12</v>
      </c>
      <c r="C143" s="617"/>
      <c r="D143" s="618"/>
      <c r="E143" s="67" t="s">
        <v>458</v>
      </c>
      <c r="F143" s="106" t="s">
        <v>453</v>
      </c>
      <c r="G143" s="162">
        <v>138</v>
      </c>
      <c r="H143" s="612" t="s">
        <v>440</v>
      </c>
      <c r="I143" s="613"/>
      <c r="J143" s="614"/>
      <c r="K143" s="614"/>
      <c r="L143" s="614"/>
      <c r="M143" s="614"/>
    </row>
    <row r="144" spans="1:15" ht="16.5" customHeight="1" x14ac:dyDescent="0.25">
      <c r="A144" s="609"/>
      <c r="B144" s="104">
        <v>13</v>
      </c>
      <c r="C144" s="610" t="s">
        <v>113</v>
      </c>
      <c r="D144" s="611"/>
      <c r="E144" s="67" t="s">
        <v>114</v>
      </c>
      <c r="F144" s="106" t="s">
        <v>411</v>
      </c>
      <c r="G144" s="162">
        <v>867.2</v>
      </c>
      <c r="H144" s="610" t="s">
        <v>462</v>
      </c>
      <c r="I144" s="611"/>
      <c r="J144" s="612"/>
      <c r="K144" s="659"/>
      <c r="L144" s="659"/>
      <c r="M144" s="613"/>
    </row>
    <row r="145" spans="1:14" ht="16.5" customHeight="1" x14ac:dyDescent="0.25">
      <c r="A145" s="609"/>
      <c r="B145" s="104">
        <v>14</v>
      </c>
      <c r="C145" s="615"/>
      <c r="D145" s="616"/>
      <c r="E145" s="67" t="s">
        <v>459</v>
      </c>
      <c r="F145" s="106" t="s">
        <v>460</v>
      </c>
      <c r="G145" s="162">
        <v>100.8</v>
      </c>
      <c r="H145" s="615"/>
      <c r="I145" s="616"/>
      <c r="J145" s="614"/>
      <c r="K145" s="614"/>
      <c r="L145" s="614"/>
      <c r="M145" s="614"/>
    </row>
    <row r="146" spans="1:14" ht="16.5" customHeight="1" x14ac:dyDescent="0.25">
      <c r="A146" s="609"/>
      <c r="B146" s="104">
        <v>15</v>
      </c>
      <c r="C146" s="615"/>
      <c r="D146" s="616"/>
      <c r="E146" s="67" t="s">
        <v>412</v>
      </c>
      <c r="F146" s="106" t="s">
        <v>461</v>
      </c>
      <c r="G146" s="162">
        <v>192</v>
      </c>
      <c r="H146" s="615"/>
      <c r="I146" s="616"/>
      <c r="J146" s="612"/>
      <c r="K146" s="659"/>
      <c r="L146" s="659"/>
      <c r="M146" s="613"/>
    </row>
    <row r="147" spans="1:14" ht="16.5" customHeight="1" x14ac:dyDescent="0.25">
      <c r="A147" s="388"/>
      <c r="B147" s="104">
        <v>16</v>
      </c>
      <c r="C147" s="617"/>
      <c r="D147" s="618"/>
      <c r="E147" s="67" t="s">
        <v>114</v>
      </c>
      <c r="F147" s="106" t="s">
        <v>411</v>
      </c>
      <c r="G147" s="162">
        <v>200</v>
      </c>
      <c r="H147" s="617"/>
      <c r="I147" s="618"/>
      <c r="J147" s="614"/>
      <c r="K147" s="614"/>
      <c r="L147" s="614"/>
      <c r="M147" s="614"/>
    </row>
    <row r="148" spans="1:14" ht="18" customHeight="1" x14ac:dyDescent="0.25">
      <c r="A148" s="620" t="s">
        <v>432</v>
      </c>
      <c r="B148" s="621"/>
      <c r="C148" s="621"/>
      <c r="D148" s="621"/>
      <c r="E148" s="621"/>
      <c r="F148" s="622"/>
      <c r="G148" s="383">
        <f>SUM(G132:G147)</f>
        <v>3686.6000000000004</v>
      </c>
      <c r="H148" s="623"/>
      <c r="I148" s="623"/>
      <c r="J148" s="623"/>
      <c r="K148" s="623"/>
      <c r="L148" s="623"/>
      <c r="M148" s="623"/>
    </row>
    <row r="149" spans="1:14" ht="17.25" customHeight="1" x14ac:dyDescent="0.25">
      <c r="A149" s="1" t="s">
        <v>433</v>
      </c>
      <c r="B149" s="7"/>
      <c r="C149" s="7"/>
      <c r="D149" s="7"/>
      <c r="E149" s="7"/>
      <c r="F149" s="7"/>
      <c r="G149" s="7"/>
      <c r="H149" s="110"/>
      <c r="I149" s="111"/>
      <c r="J149" s="7"/>
      <c r="K149" s="7"/>
      <c r="L149" s="7"/>
      <c r="M149" s="7"/>
    </row>
    <row r="150" spans="1:14" ht="17.25" customHeight="1" x14ac:dyDescent="0.25">
      <c r="A150" s="1" t="s">
        <v>434</v>
      </c>
      <c r="B150" s="7"/>
      <c r="C150" s="7"/>
      <c r="D150" s="7"/>
      <c r="E150" s="7"/>
      <c r="F150" s="7"/>
      <c r="G150" s="7"/>
      <c r="H150" s="110"/>
      <c r="I150" s="111"/>
      <c r="J150" s="7"/>
      <c r="K150" s="7"/>
      <c r="L150" s="7"/>
      <c r="M150" s="7"/>
    </row>
    <row r="151" spans="1:14" ht="21.75" hidden="1" customHeight="1" x14ac:dyDescent="0.25">
      <c r="A151" s="640" t="s">
        <v>242</v>
      </c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</row>
    <row r="152" spans="1:14" ht="21.75" hidden="1" customHeight="1" x14ac:dyDescent="0.25">
      <c r="A152" s="641"/>
      <c r="B152" s="641"/>
      <c r="C152" s="641"/>
      <c r="D152" s="641"/>
      <c r="E152" s="641"/>
      <c r="F152" s="641"/>
      <c r="G152" s="641"/>
      <c r="H152" s="641"/>
      <c r="I152" s="641"/>
      <c r="J152" s="641"/>
      <c r="K152" s="641"/>
      <c r="L152" s="641"/>
      <c r="M152" s="641"/>
    </row>
    <row r="153" spans="1:14" ht="25.5" customHeight="1" x14ac:dyDescent="0.25">
      <c r="A153" s="624" t="s">
        <v>6</v>
      </c>
      <c r="B153" s="625"/>
      <c r="C153" s="524" t="s">
        <v>138</v>
      </c>
      <c r="D153" s="542" t="s">
        <v>8</v>
      </c>
      <c r="E153" s="542"/>
      <c r="F153" s="542"/>
      <c r="G153" s="626" t="s">
        <v>139</v>
      </c>
      <c r="H153" s="627" t="s">
        <v>140</v>
      </c>
      <c r="I153" s="373" t="s">
        <v>141</v>
      </c>
      <c r="J153" s="368" t="s">
        <v>12</v>
      </c>
      <c r="K153" s="368" t="s">
        <v>13</v>
      </c>
      <c r="L153" s="368" t="s">
        <v>14</v>
      </c>
      <c r="M153" s="372" t="s">
        <v>142</v>
      </c>
      <c r="N153" s="166" t="s">
        <v>150</v>
      </c>
    </row>
    <row r="154" spans="1:14" ht="20.25" customHeight="1" x14ac:dyDescent="0.25">
      <c r="A154" s="368" t="s">
        <v>143</v>
      </c>
      <c r="B154" s="368" t="s">
        <v>17</v>
      </c>
      <c r="C154" s="527"/>
      <c r="D154" s="368" t="s">
        <v>18</v>
      </c>
      <c r="E154" s="368" t="s">
        <v>19</v>
      </c>
      <c r="F154" s="368" t="s">
        <v>20</v>
      </c>
      <c r="G154" s="626"/>
      <c r="H154" s="628"/>
      <c r="I154" s="373" t="s">
        <v>144</v>
      </c>
      <c r="J154" s="368"/>
      <c r="K154" s="368" t="s">
        <v>22</v>
      </c>
      <c r="L154" s="368" t="s">
        <v>23</v>
      </c>
      <c r="M154" s="368" t="s">
        <v>24</v>
      </c>
    </row>
    <row r="155" spans="1:14" ht="16.5" hidden="1" customHeight="1" x14ac:dyDescent="0.25">
      <c r="A155" s="542" t="s">
        <v>146</v>
      </c>
      <c r="B155" s="25" t="s">
        <v>21</v>
      </c>
      <c r="C155" s="121">
        <f>+G155*100/J156</f>
        <v>0</v>
      </c>
      <c r="D155" s="117">
        <f>+G155*D156/100</f>
        <v>0</v>
      </c>
      <c r="E155" s="117">
        <f>+G155*E156/100</f>
        <v>0</v>
      </c>
      <c r="F155" s="117">
        <f>+G155*F156/100</f>
        <v>0</v>
      </c>
      <c r="G155" s="117">
        <f>+I155*H155</f>
        <v>0</v>
      </c>
      <c r="H155" s="374"/>
      <c r="I155" s="17">
        <f>10.9*0.96*1400*0.98</f>
        <v>14356.608</v>
      </c>
      <c r="J155" s="119"/>
      <c r="K155" s="600">
        <v>4395</v>
      </c>
      <c r="L155" s="602"/>
      <c r="M155" s="119"/>
    </row>
    <row r="156" spans="1:14" ht="16.5" hidden="1" customHeight="1" x14ac:dyDescent="0.25">
      <c r="A156" s="542"/>
      <c r="B156" s="25" t="s">
        <v>26</v>
      </c>
      <c r="C156" s="121"/>
      <c r="D156" s="21">
        <v>90</v>
      </c>
      <c r="E156" s="21">
        <v>7</v>
      </c>
      <c r="F156" s="21">
        <v>3</v>
      </c>
      <c r="G156" s="21">
        <v>100</v>
      </c>
      <c r="H156" s="122"/>
      <c r="I156" s="123"/>
      <c r="J156" s="374">
        <v>98</v>
      </c>
      <c r="K156" s="629">
        <f>100-J156</f>
        <v>2</v>
      </c>
      <c r="L156" s="629"/>
      <c r="M156" s="120">
        <v>40</v>
      </c>
    </row>
    <row r="157" spans="1:14" ht="16.5" customHeight="1" x14ac:dyDescent="0.25">
      <c r="A157" s="542" t="s">
        <v>146</v>
      </c>
      <c r="B157" s="25" t="s">
        <v>21</v>
      </c>
      <c r="C157" s="121">
        <f>+G157*100/J158</f>
        <v>439488</v>
      </c>
      <c r="D157" s="117">
        <f>+G157*D158/100</f>
        <v>387628.41600000003</v>
      </c>
      <c r="E157" s="117">
        <f>+G157*E158/100</f>
        <v>0</v>
      </c>
      <c r="F157" s="117">
        <f>+G157*F158/100</f>
        <v>43069.824000000001</v>
      </c>
      <c r="G157" s="117">
        <f>+I157*H157</f>
        <v>430698.23999999999</v>
      </c>
      <c r="H157" s="384">
        <v>30</v>
      </c>
      <c r="I157" s="17">
        <f>10.9*0.96*1400*0.98</f>
        <v>14356.608</v>
      </c>
      <c r="J157" s="119"/>
      <c r="K157" s="600">
        <v>8790</v>
      </c>
      <c r="L157" s="602"/>
      <c r="M157" s="119"/>
    </row>
    <row r="158" spans="1:14" ht="16.5" customHeight="1" x14ac:dyDescent="0.25">
      <c r="A158" s="542"/>
      <c r="B158" s="25" t="s">
        <v>26</v>
      </c>
      <c r="C158" s="121"/>
      <c r="D158" s="21">
        <v>90</v>
      </c>
      <c r="E158" s="21">
        <v>0</v>
      </c>
      <c r="F158" s="21">
        <v>10</v>
      </c>
      <c r="G158" s="21">
        <v>100</v>
      </c>
      <c r="H158" s="122"/>
      <c r="I158" s="123"/>
      <c r="J158" s="374">
        <v>98</v>
      </c>
      <c r="K158" s="629">
        <f>100-J158</f>
        <v>2</v>
      </c>
      <c r="L158" s="629"/>
      <c r="M158" s="120">
        <v>100</v>
      </c>
    </row>
    <row r="159" spans="1:14" ht="16.5" customHeight="1" x14ac:dyDescent="0.25">
      <c r="A159" s="542" t="s">
        <v>147</v>
      </c>
      <c r="B159" s="25" t="s">
        <v>21</v>
      </c>
      <c r="C159" s="121">
        <f>+C155+C157</f>
        <v>439488</v>
      </c>
      <c r="D159" s="121">
        <f t="shared" ref="D159:H159" si="127">+D155+D157</f>
        <v>387628.41600000003</v>
      </c>
      <c r="E159" s="121">
        <f t="shared" si="127"/>
        <v>0</v>
      </c>
      <c r="F159" s="121">
        <f t="shared" si="127"/>
        <v>43069.824000000001</v>
      </c>
      <c r="G159" s="121">
        <f t="shared" si="127"/>
        <v>430698.23999999999</v>
      </c>
      <c r="H159" s="173">
        <f t="shared" si="127"/>
        <v>30</v>
      </c>
      <c r="I159" s="121">
        <f>+G159/H159</f>
        <v>14356.608</v>
      </c>
      <c r="J159" s="123"/>
      <c r="K159" s="119"/>
      <c r="L159" s="120"/>
      <c r="M159" s="120"/>
    </row>
    <row r="160" spans="1:14" ht="16.5" customHeight="1" x14ac:dyDescent="0.25">
      <c r="A160" s="542"/>
      <c r="B160" s="25" t="s">
        <v>26</v>
      </c>
      <c r="C160" s="105"/>
      <c r="D160" s="125">
        <f>+D159/G159*100</f>
        <v>90.000000000000014</v>
      </c>
      <c r="E160" s="125">
        <f>+E159/G159*100</f>
        <v>0</v>
      </c>
      <c r="F160" s="125">
        <f>+F159/G159*100</f>
        <v>10</v>
      </c>
      <c r="G160" s="21">
        <v>100</v>
      </c>
      <c r="H160" s="122"/>
      <c r="I160" s="122"/>
      <c r="J160" s="374"/>
      <c r="K160" s="629"/>
      <c r="L160" s="629"/>
      <c r="M160" s="67"/>
    </row>
    <row r="161" spans="1:18" ht="16.5" customHeight="1" x14ac:dyDescent="0.25">
      <c r="A161" s="112" t="s">
        <v>435</v>
      </c>
      <c r="B161" s="8"/>
      <c r="C161" s="7"/>
      <c r="D161" s="7"/>
      <c r="E161" s="7"/>
      <c r="F161" s="7"/>
      <c r="G161" s="7"/>
      <c r="J161" s="7"/>
      <c r="K161" s="7"/>
      <c r="L161" s="7"/>
      <c r="M161" s="7"/>
    </row>
    <row r="162" spans="1:18" ht="27.75" customHeight="1" x14ac:dyDescent="0.25">
      <c r="A162" s="624" t="s">
        <v>6</v>
      </c>
      <c r="B162" s="625"/>
      <c r="C162" s="524" t="s">
        <v>138</v>
      </c>
      <c r="D162" s="542" t="s">
        <v>8</v>
      </c>
      <c r="E162" s="542"/>
      <c r="F162" s="542"/>
      <c r="G162" s="626" t="s">
        <v>139</v>
      </c>
      <c r="H162" s="627" t="s">
        <v>149</v>
      </c>
      <c r="I162" s="126" t="s">
        <v>141</v>
      </c>
      <c r="J162" s="628" t="s">
        <v>12</v>
      </c>
      <c r="K162" s="368" t="s">
        <v>13</v>
      </c>
      <c r="L162" s="368" t="s">
        <v>14</v>
      </c>
      <c r="M162" s="372" t="s">
        <v>142</v>
      </c>
      <c r="N162" t="s">
        <v>150</v>
      </c>
    </row>
    <row r="163" spans="1:18" ht="17.25" customHeight="1" x14ac:dyDescent="0.25">
      <c r="A163" s="368" t="s">
        <v>151</v>
      </c>
      <c r="B163" s="368" t="s">
        <v>17</v>
      </c>
      <c r="C163" s="527"/>
      <c r="D163" s="368" t="s">
        <v>18</v>
      </c>
      <c r="E163" s="368" t="s">
        <v>19</v>
      </c>
      <c r="F163" s="368" t="s">
        <v>20</v>
      </c>
      <c r="G163" s="542"/>
      <c r="H163" s="627"/>
      <c r="I163" s="373" t="s">
        <v>144</v>
      </c>
      <c r="J163" s="628"/>
      <c r="K163" s="368" t="s">
        <v>22</v>
      </c>
      <c r="L163" s="368" t="s">
        <v>23</v>
      </c>
      <c r="M163" s="368" t="s">
        <v>24</v>
      </c>
      <c r="Q163">
        <f>15410*31</f>
        <v>477710</v>
      </c>
    </row>
    <row r="164" spans="1:18" ht="17.25" hidden="1" customHeight="1" x14ac:dyDescent="0.25">
      <c r="A164" s="542" t="s">
        <v>146</v>
      </c>
      <c r="B164" s="25" t="s">
        <v>21</v>
      </c>
      <c r="C164" s="121">
        <f>+G164*100/J165</f>
        <v>0</v>
      </c>
      <c r="D164" s="127">
        <f t="shared" ref="D164:E164" si="128">+$G$164*D165/100</f>
        <v>0</v>
      </c>
      <c r="E164" s="127">
        <f t="shared" si="128"/>
        <v>0</v>
      </c>
      <c r="F164" s="127">
        <f>+$G$164*F165/100</f>
        <v>0</v>
      </c>
      <c r="G164" s="127">
        <f>+I164*H164</f>
        <v>0</v>
      </c>
      <c r="H164" s="374">
        <v>0</v>
      </c>
      <c r="I164" s="17">
        <f>10.9*0.96*1400*0.982*1.02</f>
        <v>14673.625344</v>
      </c>
      <c r="J164" s="129"/>
      <c r="K164" s="120"/>
      <c r="L164" s="120"/>
      <c r="M164" s="130"/>
      <c r="O164" s="131"/>
      <c r="Q164">
        <f>+Q163/100*98.2</f>
        <v>469111.22000000003</v>
      </c>
    </row>
    <row r="165" spans="1:18" ht="17.25" hidden="1" customHeight="1" x14ac:dyDescent="0.25">
      <c r="A165" s="542"/>
      <c r="B165" s="25" t="s">
        <v>26</v>
      </c>
      <c r="C165" s="105"/>
      <c r="D165" s="21">
        <v>92</v>
      </c>
      <c r="E165" s="21">
        <v>6</v>
      </c>
      <c r="F165" s="21">
        <v>2</v>
      </c>
      <c r="G165" s="21">
        <v>100</v>
      </c>
      <c r="H165" s="129"/>
      <c r="I165" s="128"/>
      <c r="J165" s="369">
        <v>98.2</v>
      </c>
      <c r="K165" s="634">
        <f>100-J165</f>
        <v>1.7999999999999972</v>
      </c>
      <c r="L165" s="634"/>
      <c r="M165" s="134">
        <v>25</v>
      </c>
      <c r="N165" s="131"/>
    </row>
    <row r="166" spans="1:18" ht="17.25" customHeight="1" x14ac:dyDescent="0.25">
      <c r="A166" s="542" t="s">
        <v>146</v>
      </c>
      <c r="B166" s="25" t="s">
        <v>21</v>
      </c>
      <c r="C166" s="121">
        <f>+G166*100/J167</f>
        <v>448277.75999999995</v>
      </c>
      <c r="D166" s="127">
        <f>+$G$166*D167/100</f>
        <v>404992.05949440005</v>
      </c>
      <c r="E166" s="127">
        <f t="shared" ref="E166:F166" si="129">+$G$166*E167/100</f>
        <v>0</v>
      </c>
      <c r="F166" s="127">
        <f t="shared" si="129"/>
        <v>35216.700825599997</v>
      </c>
      <c r="G166" s="127">
        <f>+I166*H166</f>
        <v>440208.76032</v>
      </c>
      <c r="H166" s="384">
        <v>30</v>
      </c>
      <c r="I166" s="17">
        <f>10.9*0.96*1400*0.982*1.02</f>
        <v>14673.625344</v>
      </c>
      <c r="J166" s="129"/>
      <c r="K166" s="670">
        <v>8069</v>
      </c>
      <c r="L166" s="671"/>
      <c r="M166" s="130"/>
      <c r="O166" s="131"/>
      <c r="Q166">
        <f>+Q165/100*98.2</f>
        <v>0</v>
      </c>
    </row>
    <row r="167" spans="1:18" ht="17.25" customHeight="1" x14ac:dyDescent="0.25">
      <c r="A167" s="542"/>
      <c r="B167" s="25" t="s">
        <v>26</v>
      </c>
      <c r="C167" s="105"/>
      <c r="D167" s="21">
        <v>92</v>
      </c>
      <c r="E167" s="21">
        <v>0</v>
      </c>
      <c r="F167" s="21">
        <v>8</v>
      </c>
      <c r="G167" s="21">
        <v>100</v>
      </c>
      <c r="H167" s="129"/>
      <c r="I167" s="128"/>
      <c r="J167" s="369">
        <v>98.2</v>
      </c>
      <c r="K167" s="634">
        <f>100-J167</f>
        <v>1.7999999999999972</v>
      </c>
      <c r="L167" s="634"/>
      <c r="M167" s="134">
        <v>80</v>
      </c>
      <c r="N167" s="131"/>
    </row>
    <row r="168" spans="1:18" ht="17.25" customHeight="1" x14ac:dyDescent="0.25">
      <c r="A168" s="542" t="s">
        <v>147</v>
      </c>
      <c r="B168" s="25" t="s">
        <v>21</v>
      </c>
      <c r="C168" s="127">
        <f>+C166+C164</f>
        <v>448277.75999999995</v>
      </c>
      <c r="D168" s="127">
        <f t="shared" ref="D168:G168" si="130">+D166+D164</f>
        <v>404992.05949440005</v>
      </c>
      <c r="E168" s="127">
        <f t="shared" si="130"/>
        <v>0</v>
      </c>
      <c r="F168" s="127">
        <f t="shared" si="130"/>
        <v>35216.700825599997</v>
      </c>
      <c r="G168" s="127">
        <f t="shared" si="130"/>
        <v>440208.76032</v>
      </c>
      <c r="H168" s="174">
        <f>+H166+H164</f>
        <v>30</v>
      </c>
      <c r="I168" s="127">
        <f>+G168/H168</f>
        <v>14673.625344</v>
      </c>
      <c r="J168" s="129"/>
      <c r="K168" s="129"/>
      <c r="L168" s="129"/>
      <c r="M168" s="130"/>
    </row>
    <row r="169" spans="1:18" ht="17.25" customHeight="1" x14ac:dyDescent="0.25">
      <c r="A169" s="542"/>
      <c r="B169" s="25" t="s">
        <v>26</v>
      </c>
      <c r="C169" s="105"/>
      <c r="D169" s="135">
        <f>+D168/G168</f>
        <v>0.92000000000000015</v>
      </c>
      <c r="E169" s="136">
        <f>+E168/G168</f>
        <v>0</v>
      </c>
      <c r="F169" s="135">
        <f>+F168/G168</f>
        <v>7.9999999999999988E-2</v>
      </c>
      <c r="G169" s="21">
        <v>100</v>
      </c>
      <c r="H169" s="129"/>
      <c r="I169" s="129"/>
      <c r="J169" s="369"/>
      <c r="K169" s="634"/>
      <c r="L169" s="634"/>
      <c r="M169" s="58"/>
    </row>
    <row r="170" spans="1:18" ht="6" customHeight="1" x14ac:dyDescent="0.25">
      <c r="A170" s="7"/>
      <c r="B170" s="7"/>
      <c r="C170" s="7"/>
      <c r="D170" s="7"/>
      <c r="E170" s="7"/>
      <c r="F170" s="7"/>
      <c r="G170" s="7"/>
      <c r="J170" s="7"/>
      <c r="K170" s="7"/>
      <c r="L170" s="7"/>
      <c r="M170" s="7"/>
    </row>
    <row r="171" spans="1:18" ht="17.25" customHeight="1" x14ac:dyDescent="0.25">
      <c r="A171" s="1" t="s">
        <v>466</v>
      </c>
      <c r="B171" s="7"/>
      <c r="C171" s="7"/>
      <c r="D171" s="7"/>
      <c r="E171" s="7"/>
      <c r="F171" s="7"/>
      <c r="G171" s="7"/>
      <c r="J171" s="7"/>
      <c r="K171" s="7"/>
      <c r="L171" s="7"/>
      <c r="M171" s="7"/>
    </row>
    <row r="172" spans="1:18" ht="19.5" customHeight="1" x14ac:dyDescent="0.25">
      <c r="A172" s="285" t="s">
        <v>465</v>
      </c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N172" s="46"/>
      <c r="R172">
        <f>94+91</f>
        <v>185</v>
      </c>
    </row>
    <row r="173" spans="1:18" ht="19.5" customHeight="1" x14ac:dyDescent="0.25">
      <c r="A173" s="319" t="s">
        <v>467</v>
      </c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R173">
        <f>+R171/2</f>
        <v>0</v>
      </c>
    </row>
    <row r="174" spans="1:18" ht="19.5" customHeight="1" x14ac:dyDescent="0.25">
      <c r="A174" s="319" t="s">
        <v>468</v>
      </c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R174">
        <f>+R172/2</f>
        <v>92.5</v>
      </c>
    </row>
    <row r="175" spans="1:18" ht="17.25" hidden="1" customHeight="1" x14ac:dyDescent="0.25">
      <c r="A175" s="365" t="s">
        <v>328</v>
      </c>
      <c r="B175" s="365"/>
      <c r="C175" s="365"/>
      <c r="D175" s="365"/>
      <c r="E175" s="365"/>
      <c r="F175" s="365"/>
      <c r="G175" s="365"/>
      <c r="H175" s="365"/>
      <c r="I175" s="365"/>
      <c r="J175" s="365"/>
      <c r="K175" s="365"/>
      <c r="L175" s="365"/>
      <c r="M175" s="365"/>
      <c r="Q175" t="e">
        <v>#REF!</v>
      </c>
    </row>
    <row r="176" spans="1:18" ht="17.25" customHeight="1" x14ac:dyDescent="0.25">
      <c r="A176" s="1" t="s">
        <v>154</v>
      </c>
      <c r="B176" s="7"/>
      <c r="C176" s="7"/>
      <c r="D176" s="7"/>
      <c r="E176" s="7"/>
      <c r="F176" s="7"/>
      <c r="G176" s="7"/>
      <c r="J176" s="7"/>
      <c r="K176" s="7"/>
      <c r="L176" s="7"/>
      <c r="M176" s="7"/>
    </row>
    <row r="177" spans="1:13" ht="17.25" customHeight="1" x14ac:dyDescent="0.25">
      <c r="A177" s="630" t="s">
        <v>246</v>
      </c>
      <c r="B177" s="630"/>
      <c r="C177" s="630"/>
      <c r="D177" s="630"/>
      <c r="E177" s="630"/>
      <c r="F177" s="630"/>
      <c r="G177" s="630"/>
      <c r="H177" s="630"/>
      <c r="I177" s="630"/>
      <c r="J177" s="630"/>
      <c r="K177" s="630"/>
      <c r="L177" s="630"/>
      <c r="M177" s="630"/>
    </row>
    <row r="178" spans="1:13" ht="17.25" customHeight="1" x14ac:dyDescent="0.25">
      <c r="A178" s="631" t="s">
        <v>156</v>
      </c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</row>
    <row r="179" spans="1:13" ht="17.25" customHeight="1" x14ac:dyDescent="0.25">
      <c r="A179" s="139" t="s">
        <v>157</v>
      </c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</row>
    <row r="180" spans="1:13" ht="17.25" customHeight="1" x14ac:dyDescent="0.25">
      <c r="A180" s="141" t="s">
        <v>158</v>
      </c>
      <c r="B180" s="7"/>
      <c r="C180" s="7"/>
      <c r="D180" s="7"/>
      <c r="E180" s="7"/>
      <c r="F180" s="7"/>
      <c r="G180" s="7"/>
      <c r="J180" s="632" t="s">
        <v>329</v>
      </c>
      <c r="K180" s="632"/>
      <c r="L180" s="632"/>
      <c r="M180" s="632"/>
    </row>
    <row r="181" spans="1:13" ht="19.5" customHeight="1" x14ac:dyDescent="0.25">
      <c r="A181" s="7"/>
      <c r="B181" s="7"/>
      <c r="C181" s="7"/>
      <c r="D181" s="633" t="s">
        <v>160</v>
      </c>
      <c r="E181" s="633"/>
      <c r="F181" s="7"/>
      <c r="G181" s="7"/>
      <c r="J181" s="7"/>
      <c r="K181" s="1" t="s">
        <v>161</v>
      </c>
      <c r="L181" s="7"/>
      <c r="M181" s="7"/>
    </row>
    <row r="182" spans="1:13" x14ac:dyDescent="0.25">
      <c r="A182" s="141"/>
      <c r="B182" s="7"/>
      <c r="C182" s="7"/>
      <c r="D182" s="7"/>
      <c r="E182" s="7"/>
      <c r="F182" s="7"/>
      <c r="G182" s="7"/>
      <c r="J182" s="7"/>
      <c r="K182" s="7"/>
      <c r="L182" s="7"/>
      <c r="M182" s="7"/>
    </row>
    <row r="183" spans="1:13" x14ac:dyDescent="0.25">
      <c r="A183" s="143" t="s">
        <v>162</v>
      </c>
      <c r="B183" s="7"/>
      <c r="C183" s="7"/>
      <c r="D183" s="7"/>
      <c r="E183" s="7"/>
      <c r="F183" s="7"/>
      <c r="G183" s="7"/>
      <c r="J183" s="7"/>
      <c r="K183" s="7"/>
      <c r="L183" s="7"/>
      <c r="M183" s="7"/>
    </row>
    <row r="184" spans="1:13" x14ac:dyDescent="0.25">
      <c r="A184" s="2" t="s">
        <v>163</v>
      </c>
      <c r="B184" s="7"/>
      <c r="C184" s="7"/>
      <c r="D184" s="7"/>
      <c r="E184" s="7"/>
      <c r="F184" s="7"/>
      <c r="G184" s="7"/>
      <c r="J184" s="7"/>
      <c r="K184" s="7"/>
      <c r="L184" s="7"/>
      <c r="M184" s="7"/>
    </row>
    <row r="185" spans="1:13" x14ac:dyDescent="0.25">
      <c r="A185" s="2" t="s">
        <v>164</v>
      </c>
      <c r="B185" s="7"/>
      <c r="C185" s="7"/>
      <c r="D185" s="7"/>
      <c r="E185" s="7"/>
      <c r="F185" s="7"/>
      <c r="G185" s="7"/>
      <c r="J185" s="7"/>
      <c r="K185" s="7"/>
      <c r="L185" s="7"/>
      <c r="M185" s="7"/>
    </row>
    <row r="186" spans="1:13" x14ac:dyDescent="0.25">
      <c r="A186" s="144" t="s">
        <v>165</v>
      </c>
      <c r="B186" s="7"/>
      <c r="C186" s="7"/>
      <c r="D186" s="7"/>
      <c r="E186" s="7"/>
      <c r="F186" s="7"/>
      <c r="G186" s="7"/>
      <c r="J186" s="632" t="s">
        <v>166</v>
      </c>
      <c r="K186" s="632"/>
      <c r="L186" s="632"/>
      <c r="M186" s="632"/>
    </row>
    <row r="187" spans="1:13" x14ac:dyDescent="0.25">
      <c r="A187" s="2"/>
      <c r="B187" s="7"/>
      <c r="C187" s="7"/>
      <c r="D187" s="7"/>
      <c r="E187" s="7"/>
      <c r="F187" s="7"/>
      <c r="G187" s="7"/>
      <c r="J187" s="7"/>
      <c r="K187" s="632"/>
      <c r="L187" s="632"/>
      <c r="M187" s="7"/>
    </row>
    <row r="188" spans="1:13" x14ac:dyDescent="0.25">
      <c r="A188" s="144"/>
      <c r="B188" s="7"/>
      <c r="C188" s="7"/>
      <c r="D188" s="7"/>
      <c r="E188" s="7"/>
      <c r="F188" s="7"/>
      <c r="G188" s="7"/>
      <c r="J188" s="7"/>
      <c r="K188" s="7"/>
      <c r="L188" s="7"/>
      <c r="M188" s="7"/>
    </row>
    <row r="189" spans="1:13" x14ac:dyDescent="0.25">
      <c r="A189" s="2"/>
      <c r="B189" s="7"/>
      <c r="C189" s="7"/>
      <c r="D189" s="7"/>
      <c r="E189" s="7"/>
      <c r="F189" s="7"/>
      <c r="G189" s="7"/>
      <c r="J189" s="7"/>
      <c r="K189" s="7"/>
      <c r="L189" s="7"/>
      <c r="M189" s="7"/>
    </row>
    <row r="190" spans="1:13" x14ac:dyDescent="0.25">
      <c r="A190" s="145"/>
    </row>
    <row r="191" spans="1:13" x14ac:dyDescent="0.25">
      <c r="A191" s="145"/>
    </row>
    <row r="196" spans="1:1" ht="15.75" x14ac:dyDescent="0.25">
      <c r="A196" s="146"/>
    </row>
    <row r="197" spans="1:1" ht="15.75" x14ac:dyDescent="0.25">
      <c r="A197" s="146"/>
    </row>
    <row r="198" spans="1:1" ht="15.75" x14ac:dyDescent="0.25">
      <c r="A198" s="146"/>
    </row>
    <row r="199" spans="1:1" ht="15.75" x14ac:dyDescent="0.25">
      <c r="A199" s="146"/>
    </row>
    <row r="200" spans="1:1" ht="15.75" x14ac:dyDescent="0.25">
      <c r="A200" s="146"/>
    </row>
    <row r="201" spans="1:1" ht="15.75" x14ac:dyDescent="0.25">
      <c r="A201" s="147"/>
    </row>
  </sheetData>
  <mergeCells count="479">
    <mergeCell ref="J145:M145"/>
    <mergeCell ref="J146:M146"/>
    <mergeCell ref="A143:A144"/>
    <mergeCell ref="H143:I143"/>
    <mergeCell ref="J143:M143"/>
    <mergeCell ref="J144:M144"/>
    <mergeCell ref="H138:I138"/>
    <mergeCell ref="J138:M138"/>
    <mergeCell ref="H139:I139"/>
    <mergeCell ref="J139:M139"/>
    <mergeCell ref="A140:A141"/>
    <mergeCell ref="H140:I140"/>
    <mergeCell ref="J140:M140"/>
    <mergeCell ref="H141:I141"/>
    <mergeCell ref="J141:M141"/>
    <mergeCell ref="B102:C102"/>
    <mergeCell ref="G102:H102"/>
    <mergeCell ref="K102:M102"/>
    <mergeCell ref="J147:M147"/>
    <mergeCell ref="A136:A137"/>
    <mergeCell ref="H136:I136"/>
    <mergeCell ref="J136:M136"/>
    <mergeCell ref="H137:I137"/>
    <mergeCell ref="J137:M137"/>
    <mergeCell ref="A134:A135"/>
    <mergeCell ref="H134:I134"/>
    <mergeCell ref="J134:M134"/>
    <mergeCell ref="H135:I135"/>
    <mergeCell ref="J135:M135"/>
    <mergeCell ref="A129:C129"/>
    <mergeCell ref="K129:M129"/>
    <mergeCell ref="C131:D131"/>
    <mergeCell ref="H131:I131"/>
    <mergeCell ref="J131:M131"/>
    <mergeCell ref="B127:C127"/>
    <mergeCell ref="K127:M127"/>
    <mergeCell ref="B128:C128"/>
    <mergeCell ref="H142:I142"/>
    <mergeCell ref="J142:M142"/>
    <mergeCell ref="A76:A77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A74:A75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F70:G70"/>
    <mergeCell ref="H70:I70"/>
    <mergeCell ref="J70:K70"/>
    <mergeCell ref="B71:C71"/>
    <mergeCell ref="D71:E71"/>
    <mergeCell ref="F71:G71"/>
    <mergeCell ref="H71:I71"/>
    <mergeCell ref="J71:K71"/>
    <mergeCell ref="A72:A73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L62:M83"/>
    <mergeCell ref="A84:D84"/>
    <mergeCell ref="K11:L11"/>
    <mergeCell ref="K18:L18"/>
    <mergeCell ref="H63:I63"/>
    <mergeCell ref="J63:K63"/>
    <mergeCell ref="A64:A65"/>
    <mergeCell ref="B64:C64"/>
    <mergeCell ref="D64:E64"/>
    <mergeCell ref="F64:G64"/>
    <mergeCell ref="H64:I64"/>
    <mergeCell ref="J64:K64"/>
    <mergeCell ref="B65:C65"/>
    <mergeCell ref="D65:E65"/>
    <mergeCell ref="J69:K69"/>
    <mergeCell ref="A62:A63"/>
    <mergeCell ref="B62:C62"/>
    <mergeCell ref="D62:E62"/>
    <mergeCell ref="F62:G62"/>
    <mergeCell ref="H62:I62"/>
    <mergeCell ref="J62:K62"/>
    <mergeCell ref="A70:A71"/>
    <mergeCell ref="B70:C70"/>
    <mergeCell ref="D70:E70"/>
    <mergeCell ref="F66:G66"/>
    <mergeCell ref="H66:I66"/>
    <mergeCell ref="J66:K66"/>
    <mergeCell ref="B67:C67"/>
    <mergeCell ref="D67:E67"/>
    <mergeCell ref="F67:G67"/>
    <mergeCell ref="H67:I67"/>
    <mergeCell ref="J67:K67"/>
    <mergeCell ref="F65:G65"/>
    <mergeCell ref="H65:I65"/>
    <mergeCell ref="J65:K65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A59:C59"/>
    <mergeCell ref="A66:A67"/>
    <mergeCell ref="B66:C66"/>
    <mergeCell ref="D66:E66"/>
    <mergeCell ref="A177:M177"/>
    <mergeCell ref="A159:A160"/>
    <mergeCell ref="K160:L160"/>
    <mergeCell ref="A162:B162"/>
    <mergeCell ref="C162:C163"/>
    <mergeCell ref="D162:F162"/>
    <mergeCell ref="G162:G163"/>
    <mergeCell ref="H162:H163"/>
    <mergeCell ref="J162:J163"/>
    <mergeCell ref="A155:A156"/>
    <mergeCell ref="K155:L155"/>
    <mergeCell ref="K156:L156"/>
    <mergeCell ref="A157:A158"/>
    <mergeCell ref="K157:L157"/>
    <mergeCell ref="K158:L158"/>
    <mergeCell ref="A148:F148"/>
    <mergeCell ref="B63:C63"/>
    <mergeCell ref="D63:E63"/>
    <mergeCell ref="F63:G63"/>
    <mergeCell ref="A68:A69"/>
    <mergeCell ref="A178:M178"/>
    <mergeCell ref="J180:M180"/>
    <mergeCell ref="D181:E181"/>
    <mergeCell ref="J186:M186"/>
    <mergeCell ref="K187:L187"/>
    <mergeCell ref="A164:A165"/>
    <mergeCell ref="K165:L165"/>
    <mergeCell ref="A166:A167"/>
    <mergeCell ref="K167:L167"/>
    <mergeCell ref="A168:A169"/>
    <mergeCell ref="K169:L169"/>
    <mergeCell ref="K166:L166"/>
    <mergeCell ref="H148:M148"/>
    <mergeCell ref="A151:M152"/>
    <mergeCell ref="A153:B153"/>
    <mergeCell ref="C153:C154"/>
    <mergeCell ref="D153:F153"/>
    <mergeCell ref="G153:G154"/>
    <mergeCell ref="H153:H154"/>
    <mergeCell ref="A132:A133"/>
    <mergeCell ref="H132:I132"/>
    <mergeCell ref="J132:M132"/>
    <mergeCell ref="H133:I133"/>
    <mergeCell ref="J133:M133"/>
    <mergeCell ref="C132:D132"/>
    <mergeCell ref="C133:D133"/>
    <mergeCell ref="C134:D134"/>
    <mergeCell ref="C135:D135"/>
    <mergeCell ref="C136:D136"/>
    <mergeCell ref="C137:D137"/>
    <mergeCell ref="A145:A146"/>
    <mergeCell ref="C138:D141"/>
    <mergeCell ref="C142:D143"/>
    <mergeCell ref="H144:I147"/>
    <mergeCell ref="C144:D147"/>
    <mergeCell ref="A138:A139"/>
    <mergeCell ref="K128:M128"/>
    <mergeCell ref="B125:C125"/>
    <mergeCell ref="K125:M125"/>
    <mergeCell ref="B126:C126"/>
    <mergeCell ref="K126:M126"/>
    <mergeCell ref="B123:C123"/>
    <mergeCell ref="K123:M123"/>
    <mergeCell ref="B124:C124"/>
    <mergeCell ref="K124:M124"/>
    <mergeCell ref="B119:C119"/>
    <mergeCell ref="G119:H119"/>
    <mergeCell ref="A121:C121"/>
    <mergeCell ref="K121:M121"/>
    <mergeCell ref="B122:C122"/>
    <mergeCell ref="K122:M122"/>
    <mergeCell ref="B116:C116"/>
    <mergeCell ref="G116:H116"/>
    <mergeCell ref="B117:C117"/>
    <mergeCell ref="G117:H117"/>
    <mergeCell ref="K117:L117"/>
    <mergeCell ref="B118:C118"/>
    <mergeCell ref="G118:H118"/>
    <mergeCell ref="K118:M118"/>
    <mergeCell ref="B113:C113"/>
    <mergeCell ref="G113:H113"/>
    <mergeCell ref="B114:C114"/>
    <mergeCell ref="G114:H114"/>
    <mergeCell ref="K114:M114"/>
    <mergeCell ref="B115:C115"/>
    <mergeCell ref="G115:H115"/>
    <mergeCell ref="B110:C110"/>
    <mergeCell ref="G110:H110"/>
    <mergeCell ref="B111:C111"/>
    <mergeCell ref="G111:H111"/>
    <mergeCell ref="K111:M111"/>
    <mergeCell ref="B112:C112"/>
    <mergeCell ref="G112:H112"/>
    <mergeCell ref="K112:M112"/>
    <mergeCell ref="B107:C107"/>
    <mergeCell ref="G107:H107"/>
    <mergeCell ref="B108:C108"/>
    <mergeCell ref="G108:H108"/>
    <mergeCell ref="B109:C109"/>
    <mergeCell ref="G109:H109"/>
    <mergeCell ref="A103:M103"/>
    <mergeCell ref="B105:C105"/>
    <mergeCell ref="G105:H105"/>
    <mergeCell ref="K105:M105"/>
    <mergeCell ref="B106:C106"/>
    <mergeCell ref="G106:H106"/>
    <mergeCell ref="K106:M106"/>
    <mergeCell ref="B100:C100"/>
    <mergeCell ref="G100:H100"/>
    <mergeCell ref="K100:L100"/>
    <mergeCell ref="B101:C101"/>
    <mergeCell ref="G101:H101"/>
    <mergeCell ref="K101:M101"/>
    <mergeCell ref="K97:M97"/>
    <mergeCell ref="B98:C98"/>
    <mergeCell ref="G98:H98"/>
    <mergeCell ref="B99:C99"/>
    <mergeCell ref="G99:H99"/>
    <mergeCell ref="K99:L99"/>
    <mergeCell ref="B95:C95"/>
    <mergeCell ref="G95:H95"/>
    <mergeCell ref="B96:C96"/>
    <mergeCell ref="G96:H96"/>
    <mergeCell ref="B97:C97"/>
    <mergeCell ref="G97:H97"/>
    <mergeCell ref="B92:C92"/>
    <mergeCell ref="G92:H92"/>
    <mergeCell ref="B93:C93"/>
    <mergeCell ref="G93:H93"/>
    <mergeCell ref="B94:C94"/>
    <mergeCell ref="G94:H94"/>
    <mergeCell ref="B89:C89"/>
    <mergeCell ref="G89:H89"/>
    <mergeCell ref="K89:M89"/>
    <mergeCell ref="B90:C90"/>
    <mergeCell ref="G90:H90"/>
    <mergeCell ref="B91:C91"/>
    <mergeCell ref="G91:H91"/>
    <mergeCell ref="K91:M91"/>
    <mergeCell ref="B87:C87"/>
    <mergeCell ref="G87:H87"/>
    <mergeCell ref="K87:M87"/>
    <mergeCell ref="B88:C88"/>
    <mergeCell ref="G88:H88"/>
    <mergeCell ref="K88:M88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B79:C79"/>
    <mergeCell ref="D79:E79"/>
    <mergeCell ref="F79:G79"/>
    <mergeCell ref="H79:I79"/>
    <mergeCell ref="J79:K79"/>
    <mergeCell ref="J81:K81"/>
    <mergeCell ref="J83:K83"/>
    <mergeCell ref="A78:A79"/>
    <mergeCell ref="B78:C78"/>
    <mergeCell ref="D78:E78"/>
    <mergeCell ref="F78:G78"/>
    <mergeCell ref="H78:I78"/>
    <mergeCell ref="J78:K78"/>
    <mergeCell ref="A80:A81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A82:A83"/>
    <mergeCell ref="A60:A61"/>
    <mergeCell ref="B60:I60"/>
    <mergeCell ref="J60:K61"/>
    <mergeCell ref="L60:M61"/>
    <mergeCell ref="B61:C61"/>
    <mergeCell ref="D61:E61"/>
    <mergeCell ref="F61:G61"/>
    <mergeCell ref="H61:I61"/>
    <mergeCell ref="A57:A58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L47:M58"/>
    <mergeCell ref="B48:C48"/>
    <mergeCell ref="D48:E48"/>
    <mergeCell ref="F48:G48"/>
    <mergeCell ref="H48:I48"/>
    <mergeCell ref="J48:K48"/>
    <mergeCell ref="A53:A54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J58:K58"/>
    <mergeCell ref="A47:A48"/>
    <mergeCell ref="B47:C47"/>
    <mergeCell ref="D47:E47"/>
    <mergeCell ref="F47:G47"/>
    <mergeCell ref="H47:I47"/>
    <mergeCell ref="J47:K47"/>
    <mergeCell ref="J43:K43"/>
    <mergeCell ref="A45:A46"/>
    <mergeCell ref="B45:I45"/>
    <mergeCell ref="J45:K46"/>
    <mergeCell ref="A49:A50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A51:A52"/>
    <mergeCell ref="B51:C51"/>
    <mergeCell ref="A34:A35"/>
    <mergeCell ref="B34:C34"/>
    <mergeCell ref="D34:E34"/>
    <mergeCell ref="D42:E42"/>
    <mergeCell ref="F42:G42"/>
    <mergeCell ref="H42:I42"/>
    <mergeCell ref="A38:A39"/>
    <mergeCell ref="B38:C38"/>
    <mergeCell ref="D38:E38"/>
    <mergeCell ref="F38:G38"/>
    <mergeCell ref="H38:I38"/>
    <mergeCell ref="B55:C55"/>
    <mergeCell ref="D55:E55"/>
    <mergeCell ref="F55:G55"/>
    <mergeCell ref="H55:I55"/>
    <mergeCell ref="J55:K55"/>
    <mergeCell ref="L45:M46"/>
    <mergeCell ref="B46:C46"/>
    <mergeCell ref="D46:E46"/>
    <mergeCell ref="F46:G46"/>
    <mergeCell ref="H46:I46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A44:C44"/>
    <mergeCell ref="A40:A4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A42:A43"/>
    <mergeCell ref="B42:C42"/>
    <mergeCell ref="J42:K42"/>
    <mergeCell ref="B43:C43"/>
    <mergeCell ref="D43:E43"/>
    <mergeCell ref="F43:G43"/>
    <mergeCell ref="H43:I43"/>
    <mergeCell ref="J38:K38"/>
    <mergeCell ref="B39:C39"/>
    <mergeCell ref="D39:E39"/>
    <mergeCell ref="F39:G39"/>
    <mergeCell ref="H39:I39"/>
    <mergeCell ref="J39:K39"/>
    <mergeCell ref="A36:A37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A19:A20"/>
    <mergeCell ref="K20:L20"/>
    <mergeCell ref="A15:A16"/>
    <mergeCell ref="F34:G34"/>
    <mergeCell ref="H34:I34"/>
    <mergeCell ref="J34:K34"/>
    <mergeCell ref="A27:A28"/>
    <mergeCell ref="A32:A33"/>
    <mergeCell ref="B32:I32"/>
    <mergeCell ref="J32:K33"/>
    <mergeCell ref="L32:M33"/>
    <mergeCell ref="B33:C33"/>
    <mergeCell ref="D33:E33"/>
    <mergeCell ref="F33:G33"/>
    <mergeCell ref="H33:I33"/>
    <mergeCell ref="A21:A22"/>
    <mergeCell ref="A29:E29"/>
    <mergeCell ref="A31:C31"/>
    <mergeCell ref="L34:M43"/>
    <mergeCell ref="B35:C35"/>
    <mergeCell ref="D35:E35"/>
    <mergeCell ref="F35:G35"/>
    <mergeCell ref="H35:I35"/>
    <mergeCell ref="J35:K35"/>
    <mergeCell ref="A4:M4"/>
    <mergeCell ref="A9:B9"/>
    <mergeCell ref="D9:F9"/>
    <mergeCell ref="G9:G10"/>
    <mergeCell ref="H9:H10"/>
    <mergeCell ref="J9:J10"/>
    <mergeCell ref="A6:D6"/>
    <mergeCell ref="K17:L17"/>
    <mergeCell ref="A55:A56"/>
    <mergeCell ref="B56:C56"/>
    <mergeCell ref="D56:E56"/>
    <mergeCell ref="F56:G56"/>
    <mergeCell ref="H56:I56"/>
    <mergeCell ref="J56:K56"/>
    <mergeCell ref="A23:A24"/>
    <mergeCell ref="K23:L23"/>
    <mergeCell ref="K24:L24"/>
    <mergeCell ref="A25:A26"/>
    <mergeCell ref="K26:L26"/>
    <mergeCell ref="A11:A12"/>
    <mergeCell ref="K12:L12"/>
    <mergeCell ref="A13:A14"/>
    <mergeCell ref="K14:L14"/>
    <mergeCell ref="A17:A18"/>
  </mergeCells>
  <pageMargins left="0.19685039370078741" right="0.19685039370078741" top="0.19685039370078741" bottom="0.19685039370078741" header="0.2" footer="0.19685039370078741"/>
  <pageSetup paperSize="9" fitToHeight="0" orientation="landscape" r:id="rId1"/>
  <rowBreaks count="2" manualBreakCount="2">
    <brk id="129" max="12" man="1"/>
    <brk id="179" max="1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T1.2026</vt:lpstr>
      <vt:lpstr>T3.2026</vt:lpstr>
      <vt:lpstr>T4.2026</vt:lpstr>
      <vt:lpstr>T5.2026</vt:lpstr>
      <vt:lpstr>T6.2026</vt:lpstr>
      <vt:lpstr>6 tháng đầu năm</vt:lpstr>
      <vt:lpstr>T7.2026</vt:lpstr>
      <vt:lpstr>T8.2026</vt:lpstr>
      <vt:lpstr>'6 tháng đầu năm'!Print_Area</vt:lpstr>
      <vt:lpstr>T1.2026!Print_Area</vt:lpstr>
      <vt:lpstr>T3.2026!Print_Area</vt:lpstr>
      <vt:lpstr>T4.2026!Print_Area</vt:lpstr>
      <vt:lpstr>T5.2026!Print_Area</vt:lpstr>
      <vt:lpstr>T6.2026!Print_Area</vt:lpstr>
      <vt:lpstr>T7.2026!Print_Area</vt:lpstr>
      <vt:lpstr>T8.2026!Print_Area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2026-08-04T07:42:51Z</cp:lastPrinted>
  <dcterms:created xsi:type="dcterms:W3CDTF">2026-07-02T09:12:26Z</dcterms:created>
  <dcterms:modified xsi:type="dcterms:W3CDTF">2026-09-04T03:40:22Z</dcterms:modified>
</cp:coreProperties>
</file>